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ianmyd_ntnu_no/Documents/Documents/NTNU/Doctor's Degree/2020-PhD/TPG4135/Exam/Task-a-Gas-Oil-Separator-Flash-Calculation/Final/"/>
    </mc:Choice>
  </mc:AlternateContent>
  <xr:revisionPtr revIDLastSave="42" documentId="13_ncr:1_{A77C7204-A49B-4282-B52E-B5FFAD7E78BE}" xr6:coauthVersionLast="45" xr6:coauthVersionMax="45" xr10:uidLastSave="{93A4DC36-23AF-4755-9284-F7AFEC3A862D}"/>
  <bookViews>
    <workbookView xWindow="14775" yWindow="-13920" windowWidth="21600" windowHeight="11385" xr2:uid="{CFA83A1D-8AB3-4C97-86E1-BD5A2427D988}"/>
  </bookViews>
  <sheets>
    <sheet name="Task-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1" l="1"/>
  <c r="R9" i="1"/>
  <c r="V15" i="1" l="1"/>
  <c r="V14" i="1"/>
  <c r="V20" i="1"/>
  <c r="R8" i="1" l="1"/>
  <c r="L12" i="1"/>
  <c r="M12" i="1" s="1"/>
  <c r="N12" i="1"/>
  <c r="L13" i="1"/>
  <c r="M13" i="1" s="1"/>
  <c r="N13" i="1"/>
  <c r="L14" i="1"/>
  <c r="M14" i="1" s="1"/>
  <c r="N14" i="1"/>
  <c r="L15" i="1"/>
  <c r="M15" i="1" s="1"/>
  <c r="N15" i="1"/>
  <c r="L16" i="1"/>
  <c r="M16" i="1" s="1"/>
  <c r="N16" i="1"/>
  <c r="L17" i="1"/>
  <c r="M17" i="1" s="1"/>
  <c r="N17" i="1"/>
  <c r="L18" i="1"/>
  <c r="M18" i="1" s="1"/>
  <c r="N18" i="1"/>
  <c r="L19" i="1"/>
  <c r="M19" i="1" s="1"/>
  <c r="N19" i="1"/>
  <c r="L20" i="1"/>
  <c r="M20" i="1" s="1"/>
  <c r="N20" i="1"/>
  <c r="L21" i="1"/>
  <c r="M21" i="1" s="1"/>
  <c r="N21" i="1"/>
  <c r="L22" i="1"/>
  <c r="M22" i="1" s="1"/>
  <c r="N22" i="1"/>
  <c r="L23" i="1"/>
  <c r="M23" i="1" s="1"/>
  <c r="N23" i="1"/>
  <c r="N11" i="1"/>
  <c r="L11" i="1"/>
  <c r="M11" i="1" s="1"/>
  <c r="G12" i="1"/>
  <c r="G13" i="1"/>
  <c r="G14" i="1"/>
  <c r="G15" i="1"/>
  <c r="G16" i="1"/>
  <c r="G17" i="1"/>
  <c r="G18" i="1"/>
  <c r="G19" i="1"/>
  <c r="G20" i="1"/>
  <c r="G21" i="1"/>
  <c r="G22" i="1"/>
  <c r="G23" i="1"/>
  <c r="G11" i="1"/>
  <c r="E12" i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Q19" i="1" s="1"/>
  <c r="E20" i="1"/>
  <c r="F20" i="1" s="1"/>
  <c r="E21" i="1"/>
  <c r="F21" i="1" s="1"/>
  <c r="E22" i="1"/>
  <c r="F22" i="1" s="1"/>
  <c r="E23" i="1"/>
  <c r="F23" i="1" s="1"/>
  <c r="E11" i="1"/>
  <c r="F11" i="1" s="1"/>
  <c r="J27" i="1"/>
  <c r="J26" i="1"/>
  <c r="C27" i="1"/>
  <c r="C26" i="1"/>
  <c r="Q23" i="1" l="1"/>
  <c r="Q15" i="1"/>
  <c r="V21" i="1"/>
  <c r="Q21" i="1"/>
  <c r="Q13" i="1"/>
  <c r="Q18" i="1"/>
  <c r="Q17" i="1"/>
  <c r="Q11" i="1"/>
  <c r="Q16" i="1"/>
  <c r="Q22" i="1"/>
  <c r="Q14" i="1"/>
  <c r="Q20" i="1"/>
  <c r="R20" i="1"/>
  <c r="R18" i="1"/>
  <c r="R12" i="1"/>
  <c r="R17" i="1"/>
  <c r="R11" i="1"/>
  <c r="R16" i="1"/>
  <c r="R23" i="1"/>
  <c r="R15" i="1"/>
  <c r="R22" i="1"/>
  <c r="R14" i="1"/>
  <c r="R21" i="1"/>
  <c r="R13" i="1"/>
  <c r="R19" i="1"/>
  <c r="J29" i="1"/>
  <c r="M24" i="1"/>
  <c r="L24" i="1"/>
  <c r="C29" i="1"/>
  <c r="E24" i="1"/>
  <c r="F12" i="1"/>
  <c r="V17" i="1" l="1"/>
  <c r="V18" i="1" s="1"/>
  <c r="F24" i="1"/>
  <c r="Q24" i="1"/>
  <c r="R24" i="1"/>
</calcChain>
</file>

<file path=xl/sharedStrings.xml><?xml version="1.0" encoding="utf-8"?>
<sst xmlns="http://schemas.openxmlformats.org/spreadsheetml/2006/main" count="90" uniqueCount="51">
  <si>
    <t>TPG4135 - Exam Spring 2020</t>
  </si>
  <si>
    <t>Candidate Number</t>
  </si>
  <si>
    <t>N2</t>
  </si>
  <si>
    <t>CO2</t>
  </si>
  <si>
    <t>C1</t>
  </si>
  <si>
    <t>C2</t>
  </si>
  <si>
    <t>C3</t>
  </si>
  <si>
    <t>i-C4</t>
  </si>
  <si>
    <t>C4</t>
  </si>
  <si>
    <t>i-C5</t>
  </si>
  <si>
    <t>C5</t>
  </si>
  <si>
    <t>C6</t>
  </si>
  <si>
    <t>F1</t>
  </si>
  <si>
    <t>F2</t>
  </si>
  <si>
    <t>F3</t>
  </si>
  <si>
    <t>1st Stage Separator</t>
  </si>
  <si>
    <t>zi</t>
  </si>
  <si>
    <t>Components</t>
  </si>
  <si>
    <t>xi</t>
  </si>
  <si>
    <t>Ki</t>
  </si>
  <si>
    <t>yi</t>
  </si>
  <si>
    <t>2nd Stage Separator</t>
  </si>
  <si>
    <t>Surface Gas</t>
  </si>
  <si>
    <t>Surface Oil</t>
  </si>
  <si>
    <t>hi</t>
  </si>
  <si>
    <t>Sum</t>
  </si>
  <si>
    <t>Surface Gas Volume (Sm3)</t>
  </si>
  <si>
    <t>Surface Oil Volume (Sm3)</t>
  </si>
  <si>
    <t>Gas/Oil Ratio (Sm3/Sm3)</t>
  </si>
  <si>
    <t>Gas/Oil Ratio (scf/STB)</t>
  </si>
  <si>
    <t>Fg,min</t>
  </si>
  <si>
    <t>Fg,max</t>
  </si>
  <si>
    <t>Fg1</t>
  </si>
  <si>
    <t>h(Fg1)</t>
  </si>
  <si>
    <t>Fg2</t>
  </si>
  <si>
    <t>h(Fg2)</t>
  </si>
  <si>
    <t>Surface Composition (SC)</t>
  </si>
  <si>
    <r>
      <t>Moles Surface Oil, (n</t>
    </r>
    <r>
      <rPr>
        <vertAlign val="subscript"/>
        <sz val="12"/>
        <color theme="1"/>
        <rFont val="Arial"/>
        <family val="2"/>
      </rPr>
      <t>ot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SC</t>
    </r>
  </si>
  <si>
    <r>
      <t>Moles Surface Gas, (n</t>
    </r>
    <r>
      <rPr>
        <vertAlign val="subscript"/>
        <sz val="12"/>
        <color theme="1"/>
        <rFont val="Arial"/>
        <family val="2"/>
      </rPr>
      <t>gt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SC</t>
    </r>
  </si>
  <si>
    <t>GOR and Density Calculation</t>
  </si>
  <si>
    <t>Gas Density (kg/m3)</t>
  </si>
  <si>
    <t>Oil Density (kg/m3)</t>
  </si>
  <si>
    <t>Z-Factor Surface Oil</t>
  </si>
  <si>
    <t>Z-Factor Surface Gas</t>
  </si>
  <si>
    <r>
      <t>Temp. (</t>
    </r>
    <r>
      <rPr>
        <sz val="12"/>
        <color theme="1"/>
        <rFont val="Calibri"/>
        <family val="2"/>
      </rPr>
      <t>°</t>
    </r>
    <r>
      <rPr>
        <sz val="10.8"/>
        <color theme="1"/>
        <rFont val="Arial"/>
        <family val="2"/>
      </rPr>
      <t>C)</t>
    </r>
  </si>
  <si>
    <t>Pres. (bara)</t>
  </si>
  <si>
    <t>R (Pa m3)/(K mol)</t>
  </si>
  <si>
    <t>Molecular Weight Surface Oil (g/mol)</t>
  </si>
  <si>
    <t>Molecular Weight Surface Gas (g/mol)</t>
  </si>
  <si>
    <t>Gas/Oil Separator: Flash Calculations</t>
  </si>
  <si>
    <t>Task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</si>
</sst>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E+00"/>
    <numFmt numFmtId="167" formatCode="0.00000"/>
    <numFmt numFmtId="168" formatCode="0.0000"/>
    <numFmt numFmtId="169" formatCode="0.000"/>
    <numFmt numFmtId="172" formatCode="0.0000E+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rgb="FFFF0000"/>
      <name val="Arial"/>
      <family val="2"/>
    </font>
    <font>
      <vertAlign val="subscript"/>
      <sz val="12"/>
      <color theme="1"/>
      <name val="Arial"/>
      <family val="2"/>
    </font>
    <font>
      <sz val="12"/>
      <color theme="1"/>
      <name val="Calibri"/>
      <family val="2"/>
    </font>
    <font>
      <sz val="10.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8" fontId="3" fillId="0" borderId="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9" fontId="6" fillId="0" borderId="2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1" fontId="6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172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846669</xdr:colOff>
      <xdr:row>29</xdr:row>
      <xdr:rowOff>69726</xdr:rowOff>
    </xdr:from>
    <xdr:to>
      <xdr:col>3</xdr:col>
      <xdr:colOff>446619</xdr:colOff>
      <xdr:row>37</xdr:row>
      <xdr:rowOff>108885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6A4432-8A8C-4531-ABFE-A287E251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9" y="5551893"/>
          <a:ext cx="2330450" cy="1647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528108</xdr:colOff>
      <xdr:row>29</xdr:row>
      <xdr:rowOff>79252</xdr:rowOff>
    </xdr:from>
    <xdr:to>
      <xdr:col>8</xdr:col>
      <xdr:colOff>581553</xdr:colOff>
      <xdr:row>34</xdr:row>
      <xdr:rowOff>45386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83EF13-4FD3-4123-BF3D-7C37A27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08" y="5561419"/>
          <a:ext cx="4138612" cy="9715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687918</xdr:colOff>
      <xdr:row>29</xdr:row>
      <xdr:rowOff>74084</xdr:rowOff>
    </xdr:from>
    <xdr:to>
      <xdr:col>17</xdr:col>
      <xdr:colOff>381001</xdr:colOff>
      <xdr:row>42</xdr:row>
      <xdr:rowOff>45724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438A94A-07EB-47A3-B186-837B6034F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3585" y="5556251"/>
          <a:ext cx="7418916" cy="258572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529167</xdr:colOff>
      <xdr:row>34</xdr:row>
      <xdr:rowOff>84666</xdr:rowOff>
    </xdr:from>
    <xdr:to>
      <xdr:col>6</xdr:col>
      <xdr:colOff>232834</xdr:colOff>
      <xdr:row>42</xdr:row>
      <xdr:rowOff>122781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EC1AA2A-E73E-44E8-B271-14301F9A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7" y="7207249"/>
          <a:ext cx="2434167" cy="164678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486833</xdr:colOff>
      <xdr:row>29</xdr:row>
      <xdr:rowOff>74083</xdr:rowOff>
    </xdr:from>
    <xdr:to>
      <xdr:col>20</xdr:col>
      <xdr:colOff>534458</xdr:colOff>
      <xdr:row>37</xdr:row>
      <xdr:rowOff>83609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D448158-B762-4B64-9668-84EBABA4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33" y="6191250"/>
          <a:ext cx="2788708" cy="161819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169333</xdr:colOff>
      <xdr:row>0</xdr:row>
      <xdr:rowOff>63500</xdr:rowOff>
    </xdr:from>
    <xdr:to>
      <xdr:col>20</xdr:col>
      <xdr:colOff>232833</xdr:colOff>
      <xdr:row>5</xdr:row>
      <xdr:rowOff>21167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BE6F1B7-390E-4BB4-8CF9-42025B6FE3B0}"/>
            </a:ext>
          </a:extLst>
        </xdr:cNvPr>
        <xdr:cNvSpPr txBox="1"/>
      </xdr:nvSpPr>
      <xdr:spPr>
        <a:xfrm>
          <a:off x="4720166" y="63500"/>
          <a:ext cx="12795250" cy="11959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Note:</a:t>
          </a: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All highlighted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blank cells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should be filled out to get full credits. The necessary equations to solve this task can be found below.</a:t>
          </a:r>
          <a:b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- To do the Rachford-Rice flash calculation, it is recommended to use the "Goal Seek/Målsøk" functionality.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- You can find "Goal seek/Målsøk" under: Data -&gt; What-If-Analysis/Hva-Skjer-Hvis-Analyse -&gt; Goal Seek/Målsøk</a:t>
          </a:r>
          <a:b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- Remember to scroll both left/right and up/down to ensure that you answer everything (some of the sheet might be out of range depending on the size of your computer screen)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B07A-29BF-4731-88D8-F769EC8A1653}">
  <sheetPr>
    <tabColor rgb="FFFFFF00"/>
  </sheetPr>
  <dimension ref="A1:V29"/>
  <sheetViews>
    <sheetView showGridLines="0" tabSelected="1" topLeftCell="A4" zoomScale="70" zoomScaleNormal="70" workbookViewId="0">
      <selection activeCell="Q12" sqref="Q12"/>
    </sheetView>
  </sheetViews>
  <sheetFormatPr defaultColWidth="13.7109375" defaultRowHeight="15.95" customHeight="1" x14ac:dyDescent="0.25"/>
  <cols>
    <col min="1" max="1" width="13.7109375" style="1" customWidth="1"/>
    <col min="2" max="7" width="13.7109375" style="1"/>
    <col min="8" max="8" width="6.7109375" style="1" customWidth="1"/>
    <col min="9" max="14" width="13.7109375" style="1"/>
    <col min="15" max="15" width="6.7109375" style="1" customWidth="1"/>
    <col min="16" max="18" width="13.7109375" style="1"/>
    <col min="19" max="19" width="6.7109375" style="1" customWidth="1"/>
    <col min="20" max="21" width="20.7109375" style="1" customWidth="1"/>
    <col min="22" max="16384" width="13.7109375" style="1"/>
  </cols>
  <sheetData>
    <row r="1" spans="1:22" ht="20.25" x14ac:dyDescent="0.25">
      <c r="A1" s="38" t="s">
        <v>0</v>
      </c>
      <c r="B1" s="39"/>
      <c r="C1" s="39"/>
      <c r="D1" s="39"/>
      <c r="E1" s="40"/>
    </row>
    <row r="2" spans="1:22" ht="20.25" x14ac:dyDescent="0.25">
      <c r="A2" s="44" t="s">
        <v>49</v>
      </c>
      <c r="B2" s="45"/>
      <c r="C2" s="45"/>
      <c r="D2" s="45"/>
      <c r="E2" s="46"/>
    </row>
    <row r="3" spans="1:22" ht="21" thickBot="1" x14ac:dyDescent="0.3">
      <c r="A3" s="47" t="s">
        <v>50</v>
      </c>
      <c r="B3" s="48"/>
      <c r="C3" s="48"/>
      <c r="D3" s="48"/>
      <c r="E3" s="49"/>
    </row>
    <row r="4" spans="1:22" ht="15.95" customHeight="1" thickBot="1" x14ac:dyDescent="0.3">
      <c r="A4" s="2"/>
      <c r="B4" s="2"/>
      <c r="C4" s="2"/>
      <c r="D4" s="2"/>
    </row>
    <row r="5" spans="1:22" ht="21" thickBot="1" x14ac:dyDescent="0.3">
      <c r="A5" s="41" t="s">
        <v>1</v>
      </c>
      <c r="B5" s="42"/>
      <c r="C5" s="43"/>
      <c r="D5" s="3"/>
    </row>
    <row r="6" spans="1:22" ht="20.25" x14ac:dyDescent="0.25">
      <c r="A6" s="4"/>
      <c r="B6" s="4"/>
      <c r="C6" s="4"/>
      <c r="D6" s="5"/>
    </row>
    <row r="7" spans="1:22" ht="15.95" customHeight="1" x14ac:dyDescent="0.25">
      <c r="A7" s="6"/>
      <c r="B7" s="34" t="s">
        <v>15</v>
      </c>
      <c r="C7" s="34"/>
      <c r="D7" s="7"/>
      <c r="I7" s="34" t="s">
        <v>21</v>
      </c>
      <c r="J7" s="34"/>
      <c r="P7" s="34" t="s">
        <v>36</v>
      </c>
      <c r="Q7" s="34"/>
      <c r="R7" s="34"/>
      <c r="T7" s="35" t="s">
        <v>39</v>
      </c>
      <c r="U7" s="36"/>
      <c r="V7" s="37"/>
    </row>
    <row r="8" spans="1:22" ht="15.95" customHeight="1" x14ac:dyDescent="0.25">
      <c r="A8" s="8"/>
      <c r="B8" s="9" t="s">
        <v>44</v>
      </c>
      <c r="C8" s="9">
        <v>65</v>
      </c>
      <c r="D8" s="7"/>
      <c r="I8" s="9" t="s">
        <v>44</v>
      </c>
      <c r="J8" s="9">
        <v>15.56</v>
      </c>
      <c r="P8" s="9" t="s">
        <v>38</v>
      </c>
      <c r="Q8" s="9"/>
      <c r="R8" s="10">
        <f>C28+(1-C28)*J28</f>
        <v>0.55922363053266566</v>
      </c>
      <c r="T8" s="11" t="s">
        <v>42</v>
      </c>
      <c r="U8" s="12"/>
      <c r="V8" s="13">
        <v>9.2960000000000004E-3</v>
      </c>
    </row>
    <row r="9" spans="1:22" ht="15.95" customHeight="1" x14ac:dyDescent="0.25">
      <c r="B9" s="9" t="s">
        <v>45</v>
      </c>
      <c r="C9" s="9">
        <v>25</v>
      </c>
      <c r="D9" s="14"/>
      <c r="E9" s="14"/>
      <c r="F9" s="15"/>
      <c r="G9" s="8"/>
      <c r="I9" s="9" t="s">
        <v>45</v>
      </c>
      <c r="J9" s="9">
        <v>1.01325</v>
      </c>
      <c r="P9" s="9" t="s">
        <v>37</v>
      </c>
      <c r="Q9" s="9"/>
      <c r="R9" s="10">
        <f>(1-C28)*(1-J28)</f>
        <v>0.44077636946733439</v>
      </c>
      <c r="T9" s="11" t="s">
        <v>43</v>
      </c>
      <c r="U9" s="12"/>
      <c r="V9" s="13">
        <v>0.99441999999999997</v>
      </c>
    </row>
    <row r="10" spans="1:22" ht="15.95" customHeight="1" x14ac:dyDescent="0.25">
      <c r="B10" s="9" t="s">
        <v>17</v>
      </c>
      <c r="C10" s="16" t="s">
        <v>16</v>
      </c>
      <c r="D10" s="16" t="s">
        <v>19</v>
      </c>
      <c r="E10" s="17" t="s">
        <v>18</v>
      </c>
      <c r="F10" s="16" t="s">
        <v>20</v>
      </c>
      <c r="G10" s="16" t="s">
        <v>24</v>
      </c>
      <c r="I10" s="9" t="s">
        <v>17</v>
      </c>
      <c r="J10" s="16" t="s">
        <v>16</v>
      </c>
      <c r="K10" s="16" t="s">
        <v>19</v>
      </c>
      <c r="L10" s="16" t="s">
        <v>18</v>
      </c>
      <c r="M10" s="16" t="s">
        <v>20</v>
      </c>
      <c r="N10" s="16" t="s">
        <v>24</v>
      </c>
      <c r="P10" s="9" t="s">
        <v>17</v>
      </c>
      <c r="Q10" s="16" t="s">
        <v>22</v>
      </c>
      <c r="R10" s="16" t="s">
        <v>23</v>
      </c>
      <c r="T10" s="11" t="s">
        <v>47</v>
      </c>
      <c r="U10" s="12"/>
      <c r="V10" s="18">
        <v>181.18</v>
      </c>
    </row>
    <row r="11" spans="1:22" ht="15.95" customHeight="1" x14ac:dyDescent="0.25">
      <c r="B11" s="9" t="s">
        <v>2</v>
      </c>
      <c r="C11" s="19">
        <v>1.6000000000000001E-3</v>
      </c>
      <c r="D11" s="20">
        <v>26.631599999999999</v>
      </c>
      <c r="E11" s="20">
        <f>C11/($C$28*(D11-1)+1)</f>
        <v>1.2642104867453908E-4</v>
      </c>
      <c r="F11" s="21">
        <f>E11*D11</f>
        <v>3.3667947998808549E-3</v>
      </c>
      <c r="G11" s="21">
        <f>C11*(D11-1)/(1+$C$28*(D11-1))</f>
        <v>3.2403737512063159E-3</v>
      </c>
      <c r="I11" s="9" t="s">
        <v>2</v>
      </c>
      <c r="J11" s="19">
        <v>1.2642104867453908E-4</v>
      </c>
      <c r="K11" s="19">
        <v>656.66399999999999</v>
      </c>
      <c r="L11" s="51">
        <f>J11/($J$28*(K11-1)+1)</f>
        <v>9.9839711797947848E-7</v>
      </c>
      <c r="M11" s="52">
        <f>L11*K11</f>
        <v>6.5561144508087619E-4</v>
      </c>
      <c r="N11" s="21">
        <f>J11*(K11-1)/(1+$J$28*(K11-1))</f>
        <v>6.5461304796289685E-4</v>
      </c>
      <c r="P11" s="9" t="s">
        <v>2</v>
      </c>
      <c r="Q11" s="22">
        <f t="shared" ref="Q11:Q23" si="0">($C$28*F11+(1-$C$28)*$J$28*M11)/$R$8</f>
        <v>2.8603224949908766E-3</v>
      </c>
      <c r="R11" s="22">
        <f>L11</f>
        <v>9.9839711797947848E-7</v>
      </c>
      <c r="T11" s="11" t="s">
        <v>48</v>
      </c>
      <c r="U11" s="12"/>
      <c r="V11" s="23">
        <v>24.896999999999998</v>
      </c>
    </row>
    <row r="12" spans="1:22" ht="15.95" customHeight="1" x14ac:dyDescent="0.25">
      <c r="B12" s="9" t="s">
        <v>3</v>
      </c>
      <c r="C12" s="19">
        <v>9.1000000000000004E-3</v>
      </c>
      <c r="D12" s="20">
        <v>5.0857700000000001</v>
      </c>
      <c r="E12" s="20">
        <f t="shared" ref="E12:E23" si="1">C12/($C$28*(D12-1)+1)</f>
        <v>3.1840137604520298E-3</v>
      </c>
      <c r="F12" s="21">
        <f t="shared" ref="F12:F23" si="2">E12*D12</f>
        <v>1.619316166249412E-2</v>
      </c>
      <c r="G12" s="21">
        <f t="shared" ref="G12:G23" si="3">C12*(D12-1)/(1+$C$28*(D12-1))</f>
        <v>1.3009147902042091E-2</v>
      </c>
      <c r="I12" s="9" t="s">
        <v>3</v>
      </c>
      <c r="J12" s="19">
        <v>3.1840137604520298E-3</v>
      </c>
      <c r="K12" s="19">
        <v>64.778000000000006</v>
      </c>
      <c r="L12" s="51">
        <f t="shared" ref="L12:L23" si="4">J12/($J$28*(K12-1)+1)</f>
        <v>2.4085285028604424E-4</v>
      </c>
      <c r="M12" s="52">
        <f t="shared" ref="M12:M23" si="5">L12*K12</f>
        <v>1.5601965935829375E-2</v>
      </c>
      <c r="N12" s="21">
        <f t="shared" ref="N12:N23" si="6">J12*(K12-1)/(1+$J$28*(K12-1))</f>
        <v>1.5361113085543332E-2</v>
      </c>
      <c r="P12" s="9" t="s">
        <v>3</v>
      </c>
      <c r="Q12" s="22">
        <f>($C$28*F12+(1-$C$28)*$J$28*M12)/$R$8</f>
        <v>1.6082721229981549E-2</v>
      </c>
      <c r="R12" s="22">
        <f t="shared" ref="R12:R23" si="7">L12</f>
        <v>2.4085285028604424E-4</v>
      </c>
      <c r="T12" s="33" t="s">
        <v>46</v>
      </c>
      <c r="U12" s="33"/>
      <c r="V12" s="16">
        <v>8.3145000000000007</v>
      </c>
    </row>
    <row r="13" spans="1:22" ht="15.95" customHeight="1" x14ac:dyDescent="0.25">
      <c r="B13" s="9" t="s">
        <v>4</v>
      </c>
      <c r="C13" s="19">
        <v>0.36459999999999998</v>
      </c>
      <c r="D13" s="20">
        <v>11.039099999999999</v>
      </c>
      <c r="E13" s="20">
        <f t="shared" si="1"/>
        <v>6.5512624446555118E-2</v>
      </c>
      <c r="F13" s="21">
        <f t="shared" si="2"/>
        <v>0.72320041252796652</v>
      </c>
      <c r="G13" s="21">
        <f t="shared" si="3"/>
        <v>0.65768778808141148</v>
      </c>
      <c r="I13" s="9" t="s">
        <v>4</v>
      </c>
      <c r="J13" s="19">
        <v>6.5512624446555118E-2</v>
      </c>
      <c r="K13" s="19">
        <v>204.09800000000001</v>
      </c>
      <c r="L13" s="51">
        <f t="shared" si="4"/>
        <v>1.641377322987311E-3</v>
      </c>
      <c r="M13" s="52">
        <f t="shared" si="5"/>
        <v>0.3350018288670642</v>
      </c>
      <c r="N13" s="21">
        <f t="shared" si="6"/>
        <v>0.3333604515440769</v>
      </c>
      <c r="P13" s="9" t="s">
        <v>4</v>
      </c>
      <c r="Q13" s="22">
        <f t="shared" si="0"/>
        <v>0.65068158746448512</v>
      </c>
      <c r="R13" s="22">
        <f t="shared" si="7"/>
        <v>1.641377322987311E-3</v>
      </c>
    </row>
    <row r="14" spans="1:22" ht="15.95" customHeight="1" x14ac:dyDescent="0.25">
      <c r="B14" s="9" t="s">
        <v>5</v>
      </c>
      <c r="C14" s="19">
        <v>9.6699999999999994E-2</v>
      </c>
      <c r="D14" s="20">
        <v>2.5259499999999999</v>
      </c>
      <c r="E14" s="20">
        <f t="shared" si="1"/>
        <v>5.708602566327451E-2</v>
      </c>
      <c r="F14" s="21">
        <f t="shared" si="2"/>
        <v>0.14419644652414823</v>
      </c>
      <c r="G14" s="21">
        <f t="shared" si="3"/>
        <v>8.7110420860873727E-2</v>
      </c>
      <c r="I14" s="9" t="s">
        <v>5</v>
      </c>
      <c r="J14" s="19">
        <v>5.708602566327451E-2</v>
      </c>
      <c r="K14" s="19">
        <v>26.074999999999999</v>
      </c>
      <c r="L14" s="51">
        <f t="shared" si="4"/>
        <v>9.8350864815226167E-3</v>
      </c>
      <c r="M14" s="52">
        <f t="shared" si="5"/>
        <v>0.25644988000570224</v>
      </c>
      <c r="N14" s="21">
        <f t="shared" si="6"/>
        <v>0.24661479352417962</v>
      </c>
      <c r="P14" s="9" t="s">
        <v>5</v>
      </c>
      <c r="Q14" s="22">
        <f t="shared" si="0"/>
        <v>0.16516635071250252</v>
      </c>
      <c r="R14" s="22">
        <f t="shared" si="7"/>
        <v>9.8350864815226167E-3</v>
      </c>
      <c r="T14" s="9" t="s">
        <v>26</v>
      </c>
      <c r="U14" s="9"/>
      <c r="V14" s="20">
        <f>R8*V12*(J8+273.15)*V9/(J9*100000)</f>
        <v>1.3174578118762971E-2</v>
      </c>
    </row>
    <row r="15" spans="1:22" ht="15.95" customHeight="1" x14ac:dyDescent="0.25">
      <c r="B15" s="9" t="s">
        <v>6</v>
      </c>
      <c r="C15" s="19">
        <v>6.9500000000000006E-2</v>
      </c>
      <c r="D15" s="20">
        <v>0.97244200000000003</v>
      </c>
      <c r="E15" s="20">
        <f t="shared" si="1"/>
        <v>7.0382039114992578E-2</v>
      </c>
      <c r="F15" s="21">
        <f t="shared" si="2"/>
        <v>6.8442450881061614E-2</v>
      </c>
      <c r="G15" s="21">
        <f t="shared" si="3"/>
        <v>-1.9395882339309637E-3</v>
      </c>
      <c r="I15" s="9" t="s">
        <v>6</v>
      </c>
      <c r="J15" s="19">
        <v>7.0382039114992578E-2</v>
      </c>
      <c r="K15" s="19">
        <v>6.7836600000000002</v>
      </c>
      <c r="L15" s="51">
        <f t="shared" si="4"/>
        <v>3.3385869320499681E-2</v>
      </c>
      <c r="M15" s="52">
        <f t="shared" si="5"/>
        <v>0.22647838627470088</v>
      </c>
      <c r="N15" s="21">
        <f t="shared" si="6"/>
        <v>0.19309251695420118</v>
      </c>
      <c r="P15" s="9" t="s">
        <v>6</v>
      </c>
      <c r="Q15" s="22">
        <f t="shared" si="0"/>
        <v>9.7964919109760698E-2</v>
      </c>
      <c r="R15" s="22">
        <f t="shared" si="7"/>
        <v>3.3385869320499681E-2</v>
      </c>
      <c r="T15" s="9" t="s">
        <v>27</v>
      </c>
      <c r="U15" s="9"/>
      <c r="V15" s="20">
        <f>R9*V12*(J8+273.15)*V8/(J9*100000)</f>
        <v>9.707240073110697E-5</v>
      </c>
    </row>
    <row r="16" spans="1:22" ht="15.95" customHeight="1" x14ac:dyDescent="0.25">
      <c r="B16" s="9" t="s">
        <v>7</v>
      </c>
      <c r="C16" s="19">
        <v>1.44E-2</v>
      </c>
      <c r="D16" s="20">
        <v>0.49402800000000002</v>
      </c>
      <c r="E16" s="20">
        <f t="shared" si="1"/>
        <v>1.8703575482640525E-2</v>
      </c>
      <c r="F16" s="21">
        <f t="shared" si="2"/>
        <v>9.2400899885379337E-3</v>
      </c>
      <c r="G16" s="21">
        <f t="shared" si="3"/>
        <v>-9.4634854941025911E-3</v>
      </c>
      <c r="I16" s="9" t="s">
        <v>7</v>
      </c>
      <c r="J16" s="19">
        <v>1.8703575482640525E-2</v>
      </c>
      <c r="K16" s="19">
        <v>2.6041099999999999</v>
      </c>
      <c r="L16" s="51">
        <f t="shared" si="4"/>
        <v>1.4306539149650454E-2</v>
      </c>
      <c r="M16" s="52">
        <f t="shared" si="5"/>
        <v>3.7255801664996244E-2</v>
      </c>
      <c r="N16" s="21">
        <f t="shared" si="6"/>
        <v>2.2949262515345785E-2</v>
      </c>
      <c r="P16" s="9" t="s">
        <v>7</v>
      </c>
      <c r="Q16" s="22">
        <f t="shared" si="0"/>
        <v>1.4473665224527733E-2</v>
      </c>
      <c r="R16" s="22">
        <f t="shared" si="7"/>
        <v>1.4306539149650454E-2</v>
      </c>
    </row>
    <row r="17" spans="2:22" ht="15.95" customHeight="1" x14ac:dyDescent="0.25">
      <c r="B17" s="9" t="s">
        <v>8</v>
      </c>
      <c r="C17" s="19">
        <v>3.9300000000000002E-2</v>
      </c>
      <c r="D17" s="20">
        <v>0.37698999999999999</v>
      </c>
      <c r="E17" s="20">
        <f t="shared" si="1"/>
        <v>5.4835993847342487E-2</v>
      </c>
      <c r="F17" s="21">
        <f t="shared" si="2"/>
        <v>2.0672621320509645E-2</v>
      </c>
      <c r="G17" s="21">
        <f t="shared" si="3"/>
        <v>-3.4163372526832846E-2</v>
      </c>
      <c r="I17" s="9" t="s">
        <v>8</v>
      </c>
      <c r="J17" s="19">
        <v>5.4835993847342487E-2</v>
      </c>
      <c r="K17" s="19">
        <v>1.78321</v>
      </c>
      <c r="L17" s="51">
        <f t="shared" si="4"/>
        <v>4.7680919279350392E-2</v>
      </c>
      <c r="M17" s="52">
        <f t="shared" si="5"/>
        <v>8.5025092068130415E-2</v>
      </c>
      <c r="N17" s="21">
        <f t="shared" si="6"/>
        <v>3.7344172788780022E-2</v>
      </c>
      <c r="P17" s="9" t="s">
        <v>8</v>
      </c>
      <c r="Q17" s="22">
        <f t="shared" si="0"/>
        <v>3.2694214816651836E-2</v>
      </c>
      <c r="R17" s="22">
        <f t="shared" si="7"/>
        <v>4.7680919279350392E-2</v>
      </c>
      <c r="T17" s="9" t="s">
        <v>28</v>
      </c>
      <c r="U17" s="9"/>
      <c r="V17" s="24">
        <f>V14/V15</f>
        <v>135.71909234280596</v>
      </c>
    </row>
    <row r="18" spans="2:22" ht="15.95" customHeight="1" x14ac:dyDescent="0.25">
      <c r="B18" s="9" t="s">
        <v>9</v>
      </c>
      <c r="C18" s="19">
        <v>1.44E-2</v>
      </c>
      <c r="D18" s="20">
        <v>0.186386</v>
      </c>
      <c r="E18" s="20">
        <f t="shared" si="1"/>
        <v>2.2856988087067459E-2</v>
      </c>
      <c r="F18" s="21">
        <f t="shared" si="2"/>
        <v>4.2602225815961551E-3</v>
      </c>
      <c r="G18" s="21">
        <f t="shared" si="3"/>
        <v>-1.8596765505471305E-2</v>
      </c>
      <c r="I18" s="9" t="s">
        <v>9</v>
      </c>
      <c r="J18" s="19">
        <v>2.2856988087067459E-2</v>
      </c>
      <c r="K18" s="19">
        <v>0.65583899999999995</v>
      </c>
      <c r="L18" s="51">
        <f t="shared" si="4"/>
        <v>2.4470594040713479E-2</v>
      </c>
      <c r="M18" s="52">
        <f t="shared" si="5"/>
        <v>1.6048769925067485E-2</v>
      </c>
      <c r="N18" s="21">
        <f t="shared" si="6"/>
        <v>-8.4218241156459924E-3</v>
      </c>
      <c r="P18" s="9" t="s">
        <v>9</v>
      </c>
      <c r="Q18" s="22">
        <f t="shared" si="0"/>
        <v>6.4624243374390537E-3</v>
      </c>
      <c r="R18" s="22">
        <f t="shared" si="7"/>
        <v>2.4470594040713479E-2</v>
      </c>
      <c r="T18" s="9" t="s">
        <v>29</v>
      </c>
      <c r="U18" s="9"/>
      <c r="V18" s="24">
        <f>V17*5.6145</f>
        <v>761.99484395868399</v>
      </c>
    </row>
    <row r="19" spans="2:22" ht="15.95" customHeight="1" x14ac:dyDescent="0.25">
      <c r="B19" s="9" t="s">
        <v>10</v>
      </c>
      <c r="C19" s="19">
        <v>1.41E-2</v>
      </c>
      <c r="D19" s="20">
        <v>0.151559</v>
      </c>
      <c r="E19" s="20">
        <f t="shared" si="1"/>
        <v>2.2957944429837028E-2</v>
      </c>
      <c r="F19" s="21">
        <f t="shared" si="2"/>
        <v>3.4794830998416703E-3</v>
      </c>
      <c r="G19" s="21">
        <f t="shared" si="3"/>
        <v>-1.947846132999536E-2</v>
      </c>
      <c r="I19" s="9" t="s">
        <v>10</v>
      </c>
      <c r="J19" s="19">
        <v>2.2957944429837028E-2</v>
      </c>
      <c r="K19" s="19">
        <v>0.483371</v>
      </c>
      <c r="L19" s="51">
        <f t="shared" si="4"/>
        <v>2.5480095864298429E-2</v>
      </c>
      <c r="M19" s="52">
        <f t="shared" si="5"/>
        <v>1.2316339418021795E-2</v>
      </c>
      <c r="N19" s="21">
        <f t="shared" si="6"/>
        <v>-1.3163756446276634E-2</v>
      </c>
      <c r="P19" s="9" t="s">
        <v>10</v>
      </c>
      <c r="Q19" s="22">
        <f t="shared" si="0"/>
        <v>5.1302836550776148E-3</v>
      </c>
      <c r="R19" s="22">
        <f t="shared" si="7"/>
        <v>2.5480095864298429E-2</v>
      </c>
    </row>
    <row r="20" spans="2:22" ht="15.95" customHeight="1" x14ac:dyDescent="0.25">
      <c r="B20" s="9" t="s">
        <v>11</v>
      </c>
      <c r="C20" s="19">
        <v>4.3299999999999998E-2</v>
      </c>
      <c r="D20" s="20">
        <v>6.3990000000000005E-2</v>
      </c>
      <c r="E20" s="20">
        <f t="shared" si="1"/>
        <v>7.5390362636261629E-2</v>
      </c>
      <c r="F20" s="21">
        <f t="shared" si="2"/>
        <v>4.8242293050943822E-3</v>
      </c>
      <c r="G20" s="21">
        <f t="shared" si="3"/>
        <v>-7.056613333116725E-2</v>
      </c>
      <c r="I20" s="9" t="s">
        <v>11</v>
      </c>
      <c r="J20" s="19">
        <v>7.5390362636261629E-2</v>
      </c>
      <c r="K20" s="19">
        <v>0.14111000000000001</v>
      </c>
      <c r="L20" s="51">
        <f t="shared" si="4"/>
        <v>9.024049544708207E-2</v>
      </c>
      <c r="M20" s="52">
        <f t="shared" si="5"/>
        <v>1.2733836312537753E-2</v>
      </c>
      <c r="N20" s="21">
        <f t="shared" si="6"/>
        <v>-7.7506659134544298E-2</v>
      </c>
      <c r="P20" s="9" t="s">
        <v>11</v>
      </c>
      <c r="Q20" s="22">
        <f t="shared" si="0"/>
        <v>6.3018117359327106E-3</v>
      </c>
      <c r="R20" s="22">
        <f t="shared" si="7"/>
        <v>9.024049544708207E-2</v>
      </c>
      <c r="T20" s="31" t="s">
        <v>40</v>
      </c>
      <c r="U20" s="32"/>
      <c r="V20" s="24">
        <f>R8*V11/1000/V14</f>
        <v>1.0568073302888485</v>
      </c>
    </row>
    <row r="21" spans="2:22" ht="15.95" customHeight="1" x14ac:dyDescent="0.25">
      <c r="B21" s="9" t="s">
        <v>12</v>
      </c>
      <c r="C21" s="19">
        <v>0.15909999999999999</v>
      </c>
      <c r="D21" s="20">
        <v>7.3045300000000001E-3</v>
      </c>
      <c r="E21" s="20">
        <f t="shared" si="1"/>
        <v>0.29002895509088028</v>
      </c>
      <c r="F21" s="21">
        <f t="shared" si="2"/>
        <v>2.1185252033299878E-3</v>
      </c>
      <c r="G21" s="21">
        <f t="shared" si="3"/>
        <v>-0.28791042988755033</v>
      </c>
      <c r="I21" s="9" t="s">
        <v>12</v>
      </c>
      <c r="J21" s="19">
        <v>0.29002895509088028</v>
      </c>
      <c r="K21" s="19">
        <v>7.1030700000000004E-3</v>
      </c>
      <c r="L21" s="51">
        <f t="shared" si="4"/>
        <v>0.35816533168827186</v>
      </c>
      <c r="M21" s="52">
        <f t="shared" si="5"/>
        <v>2.5440734225550135E-3</v>
      </c>
      <c r="N21" s="21">
        <f t="shared" si="6"/>
        <v>-0.35562125826571683</v>
      </c>
      <c r="P21" s="9" t="s">
        <v>12</v>
      </c>
      <c r="Q21" s="22">
        <f t="shared" si="0"/>
        <v>2.1980212606700954E-3</v>
      </c>
      <c r="R21" s="22">
        <f t="shared" si="7"/>
        <v>0.35816533168827186</v>
      </c>
      <c r="T21" s="31" t="s">
        <v>41</v>
      </c>
      <c r="U21" s="32"/>
      <c r="V21" s="24">
        <f>R9*V10/1000/V15</f>
        <v>822.68350240255734</v>
      </c>
    </row>
    <row r="22" spans="2:22" ht="15.95" customHeight="1" x14ac:dyDescent="0.25">
      <c r="B22" s="9" t="s">
        <v>13</v>
      </c>
      <c r="C22" s="19">
        <v>0.14280000000000001</v>
      </c>
      <c r="D22" s="20">
        <v>4.7950400000000001E-6</v>
      </c>
      <c r="E22" s="20">
        <f t="shared" si="1"/>
        <v>0.26189997907638007</v>
      </c>
      <c r="F22" s="21">
        <f t="shared" si="2"/>
        <v>1.2558208756704055E-6</v>
      </c>
      <c r="G22" s="21">
        <f t="shared" si="3"/>
        <v>-0.2618987232555044</v>
      </c>
      <c r="I22" s="9" t="s">
        <v>13</v>
      </c>
      <c r="J22" s="19">
        <v>0.26189997907638007</v>
      </c>
      <c r="K22" s="19">
        <v>1.88433E-7</v>
      </c>
      <c r="L22" s="51">
        <f t="shared" si="4"/>
        <v>0.32397250039336606</v>
      </c>
      <c r="M22" s="52">
        <f t="shared" si="5"/>
        <v>6.1047110166623152E-8</v>
      </c>
      <c r="N22" s="21">
        <f t="shared" si="6"/>
        <v>-0.32397243934625586</v>
      </c>
      <c r="P22" s="9" t="s">
        <v>13</v>
      </c>
      <c r="Q22" s="22">
        <f t="shared" si="0"/>
        <v>1.0326268885262116E-6</v>
      </c>
      <c r="R22" s="22">
        <f t="shared" si="7"/>
        <v>0.32397250039336606</v>
      </c>
    </row>
    <row r="23" spans="2:22" ht="15.95" customHeight="1" x14ac:dyDescent="0.25">
      <c r="B23" s="9" t="s">
        <v>14</v>
      </c>
      <c r="C23" s="19">
        <v>3.1099999999999999E-2</v>
      </c>
      <c r="D23" s="20">
        <v>4.9916599999999998E-12</v>
      </c>
      <c r="E23" s="20">
        <f t="shared" si="1"/>
        <v>5.7038668932517085E-2</v>
      </c>
      <c r="F23" s="21">
        <f t="shared" si="2"/>
        <v>2.8471764216368824E-13</v>
      </c>
      <c r="G23" s="21">
        <f t="shared" si="3"/>
        <v>-5.7038668932232368E-2</v>
      </c>
      <c r="I23" s="9" t="s">
        <v>14</v>
      </c>
      <c r="J23" s="19">
        <v>5.7038668932517085E-2</v>
      </c>
      <c r="K23" s="19">
        <v>4.2051400000000002E-16</v>
      </c>
      <c r="L23" s="51">
        <f t="shared" si="4"/>
        <v>7.0557321476770588E-2</v>
      </c>
      <c r="M23" s="52">
        <f t="shared" si="5"/>
        <v>2.9670341483482709E-17</v>
      </c>
      <c r="N23" s="21">
        <f t="shared" si="6"/>
        <v>-7.0557321476770546E-2</v>
      </c>
      <c r="P23" s="9" t="s">
        <v>14</v>
      </c>
      <c r="Q23" s="22">
        <f t="shared" si="0"/>
        <v>2.315354872172247E-13</v>
      </c>
      <c r="R23" s="22">
        <f t="shared" si="7"/>
        <v>7.0557321476770588E-2</v>
      </c>
    </row>
    <row r="24" spans="2:22" ht="15.95" customHeight="1" x14ac:dyDescent="0.25">
      <c r="D24" s="25" t="s">
        <v>25</v>
      </c>
      <c r="E24" s="20">
        <f>SUM(E11:E23)</f>
        <v>1.0000035916168752</v>
      </c>
      <c r="F24" s="20">
        <f>SUM(F11:F23)</f>
        <v>0.99999569371562158</v>
      </c>
      <c r="K24" s="25" t="s">
        <v>25</v>
      </c>
      <c r="L24" s="20">
        <f>SUM(L11:L23)</f>
        <v>0.99997798171191687</v>
      </c>
      <c r="M24" s="20">
        <f>SUM(M11:M23)</f>
        <v>1.0001116463867965</v>
      </c>
      <c r="N24" s="8"/>
      <c r="O24" s="8"/>
      <c r="P24" s="26" t="s">
        <v>25</v>
      </c>
      <c r="Q24" s="23">
        <f>SUM(Q11:Q23)</f>
        <v>1.0000173546691398</v>
      </c>
      <c r="R24" s="23">
        <f>SUM(R11:R23)</f>
        <v>0.99997798171191687</v>
      </c>
    </row>
    <row r="26" spans="2:22" ht="15.95" customHeight="1" x14ac:dyDescent="0.25">
      <c r="B26" s="9" t="s">
        <v>30</v>
      </c>
      <c r="C26" s="19">
        <f>1/(1-MAX(D11:D23))</f>
        <v>-3.9014341671998631E-2</v>
      </c>
      <c r="I26" s="9" t="s">
        <v>30</v>
      </c>
      <c r="J26" s="19">
        <f>1/(1-MAX(K11:K23))</f>
        <v>-1.5251714292686498E-3</v>
      </c>
    </row>
    <row r="27" spans="2:22" ht="15.95" customHeight="1" x14ac:dyDescent="0.25">
      <c r="B27" s="9" t="s">
        <v>31</v>
      </c>
      <c r="C27" s="19">
        <f>1/(1-MIN(D11:D23))</f>
        <v>1.0000000000049916</v>
      </c>
      <c r="I27" s="9" t="s">
        <v>31</v>
      </c>
      <c r="J27" s="19">
        <f>1/(1-MIN(K11:K23))</f>
        <v>1.0000000000000004</v>
      </c>
    </row>
    <row r="28" spans="2:22" ht="15.95" customHeight="1" x14ac:dyDescent="0.25">
      <c r="B28" s="27" t="s">
        <v>32</v>
      </c>
      <c r="C28" s="28">
        <v>0.45475585980687622</v>
      </c>
      <c r="I28" s="27" t="s">
        <v>34</v>
      </c>
      <c r="J28" s="50">
        <v>0.19159815397335084</v>
      </c>
      <c r="M28" s="29"/>
    </row>
    <row r="29" spans="2:22" ht="15.95" customHeight="1" x14ac:dyDescent="0.25">
      <c r="B29" s="26" t="s">
        <v>33</v>
      </c>
      <c r="C29" s="19">
        <f>SUM(G11:G23)</f>
        <v>-7.8979012536686821E-6</v>
      </c>
      <c r="I29" s="26" t="s">
        <v>35</v>
      </c>
      <c r="J29" s="19">
        <f>SUM(N11:N23)</f>
        <v>1.336646748795467E-4</v>
      </c>
      <c r="L29" s="29"/>
      <c r="M29" s="30"/>
    </row>
  </sheetData>
  <mergeCells count="11">
    <mergeCell ref="A1:E1"/>
    <mergeCell ref="A5:C5"/>
    <mergeCell ref="B7:C7"/>
    <mergeCell ref="I7:J7"/>
    <mergeCell ref="A2:E2"/>
    <mergeCell ref="A3:E3"/>
    <mergeCell ref="T20:U20"/>
    <mergeCell ref="T21:U21"/>
    <mergeCell ref="T12:U12"/>
    <mergeCell ref="P7:R7"/>
    <mergeCell ref="T7:V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562932E31AEA429679DD9E5EC1B88E" ma:contentTypeVersion="15" ma:contentTypeDescription="Create a new document." ma:contentTypeScope="" ma:versionID="b3e0a7b47885413663b67d8c29e09969">
  <xsd:schema xmlns:xsd="http://www.w3.org/2001/XMLSchema" xmlns:xs="http://www.w3.org/2001/XMLSchema" xmlns:p="http://schemas.microsoft.com/office/2006/metadata/properties" xmlns:ns1="http://schemas.microsoft.com/sharepoint/v3" xmlns:ns3="b5323f24-2fa1-47d2-b2bd-420cc75c5387" xmlns:ns4="21a772f0-19a9-445c-9472-8b8eacda3f83" targetNamespace="http://schemas.microsoft.com/office/2006/metadata/properties" ma:root="true" ma:fieldsID="cbf48ab24c992670e7d1df79538c4ce2" ns1:_="" ns3:_="" ns4:_="">
    <xsd:import namespace="http://schemas.microsoft.com/sharepoint/v3"/>
    <xsd:import namespace="b5323f24-2fa1-47d2-b2bd-420cc75c5387"/>
    <xsd:import namespace="21a772f0-19a9-445c-9472-8b8eacda3f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23f24-2fa1-47d2-b2bd-420cc75c5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772f0-19a9-445c-9472-8b8eacda3f8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53D375-A765-4BDF-AF06-27E081CE0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323f24-2fa1-47d2-b2bd-420cc75c5387"/>
    <ds:schemaRef ds:uri="21a772f0-19a9-445c-9472-8b8eacda3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C7F41D-629E-46B3-BC26-5F7DB0405C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4282E-07B5-4998-A62D-2340342E5F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Mydland</dc:creator>
  <cp:lastModifiedBy>Stian Mydland</cp:lastModifiedBy>
  <dcterms:created xsi:type="dcterms:W3CDTF">2020-04-30T19:29:02Z</dcterms:created>
  <dcterms:modified xsi:type="dcterms:W3CDTF">2020-06-07T13:32:17Z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0x01010040562932E31AEA429679DD9E5EC1B88E</vt:lpwstr>
  </property>
</Properties>
</file>