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0"/>
  <workbookPr autoCompressPictures="0"/>
  <bookViews>
    <workbookView xWindow="0" yWindow="0" windowWidth="25600" windowHeight="15480" tabRatio="718" activeTab="2"/>
  </bookViews>
  <sheets>
    <sheet name="Wopt new graphs" sheetId="9" r:id="rId1"/>
    <sheet name="WOPT" sheetId="1" r:id="rId2"/>
    <sheet name="WWPT" sheetId="3" r:id="rId3"/>
    <sheet name="Bottom hole pressure " sheetId="4" r:id="rId4"/>
    <sheet name="NPV calculation" sheetId="5" r:id="rId5"/>
    <sheet name="cash flow" sheetId="6" r:id="rId6"/>
    <sheet name="Cumulative NPV" sheetId="7" r:id="rId7"/>
    <sheet name="Sensitivity analyzes - 10 %" sheetId="8" r:id="rId8"/>
    <sheet name="Sensitivity + 10 %" sheetId="12" r:id="rId9"/>
    <sheet name="Sensitivity 5 % decrease Prod" sheetId="10" r:id="rId10"/>
    <sheet name="Sensitivity 5 % increase prod" sheetId="11" r:id="rId11"/>
  </sheets>
  <externalReferences>
    <externalReference r:id="rId12"/>
    <externalReference r:id="rId13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6" i="10" l="1"/>
  <c r="M46" i="10"/>
  <c r="L46" i="10"/>
  <c r="K46" i="10"/>
  <c r="J46" i="10"/>
  <c r="I46" i="10"/>
  <c r="H46" i="10"/>
  <c r="G46" i="10"/>
  <c r="F46" i="10"/>
  <c r="E46" i="10"/>
  <c r="D46" i="10"/>
  <c r="C46" i="10"/>
  <c r="B46" i="10"/>
  <c r="C16" i="5"/>
  <c r="B16" i="5"/>
  <c r="F3" i="7"/>
  <c r="F4" i="7"/>
  <c r="F5" i="7"/>
  <c r="F6" i="7"/>
  <c r="F7" i="7"/>
  <c r="F8" i="7"/>
  <c r="F9" i="7"/>
  <c r="F10" i="7"/>
  <c r="F11" i="7"/>
  <c r="F12" i="7"/>
  <c r="F13" i="7"/>
  <c r="F14" i="7"/>
  <c r="F15" i="7"/>
  <c r="F2" i="7"/>
  <c r="I29" i="5"/>
  <c r="J28" i="5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27" i="10"/>
  <c r="E27" i="10"/>
  <c r="E28" i="10"/>
  <c r="C28" i="10"/>
  <c r="A46" i="10"/>
  <c r="G27" i="10"/>
  <c r="H27" i="10"/>
  <c r="G28" i="10"/>
  <c r="H28" i="10"/>
  <c r="E29" i="10"/>
  <c r="G29" i="10"/>
  <c r="H29" i="10"/>
  <c r="E30" i="10"/>
  <c r="G30" i="10"/>
  <c r="H30" i="10"/>
  <c r="E31" i="10"/>
  <c r="G31" i="10"/>
  <c r="H31" i="10"/>
  <c r="E32" i="10"/>
  <c r="G32" i="10"/>
  <c r="H32" i="10"/>
  <c r="E33" i="10"/>
  <c r="G33" i="10"/>
  <c r="H33" i="10"/>
  <c r="E34" i="10"/>
  <c r="G34" i="10"/>
  <c r="H34" i="10"/>
  <c r="E35" i="10"/>
  <c r="G35" i="10"/>
  <c r="H35" i="10"/>
  <c r="E36" i="10"/>
  <c r="G36" i="10"/>
  <c r="H36" i="10"/>
  <c r="E37" i="10"/>
  <c r="G37" i="10"/>
  <c r="H37" i="10"/>
  <c r="E38" i="10"/>
  <c r="G38" i="10"/>
  <c r="H38" i="10"/>
  <c r="E39" i="10"/>
  <c r="G39" i="10"/>
  <c r="H39" i="10"/>
  <c r="E40" i="10"/>
  <c r="G40" i="10"/>
  <c r="H40" i="10"/>
  <c r="E41" i="10"/>
  <c r="G41" i="10"/>
  <c r="H41" i="10"/>
  <c r="E42" i="10"/>
  <c r="G42" i="10"/>
  <c r="H42" i="10"/>
  <c r="E43" i="10"/>
  <c r="G43" i="10"/>
  <c r="H43" i="10"/>
  <c r="H44" i="10"/>
  <c r="E44" i="10"/>
  <c r="C43" i="10"/>
  <c r="B43" i="10"/>
  <c r="C42" i="10"/>
  <c r="B42" i="10"/>
  <c r="C41" i="10"/>
  <c r="B41" i="10"/>
  <c r="B20" i="10"/>
  <c r="I27" i="10"/>
  <c r="J27" i="10"/>
  <c r="C11" i="10"/>
  <c r="C16" i="10"/>
  <c r="C20" i="10"/>
  <c r="I28" i="10"/>
  <c r="J28" i="10"/>
  <c r="D11" i="10"/>
  <c r="D16" i="10"/>
  <c r="D20" i="10"/>
  <c r="I29" i="10"/>
  <c r="J29" i="10"/>
  <c r="E11" i="10"/>
  <c r="E16" i="10"/>
  <c r="E20" i="10"/>
  <c r="I30" i="10"/>
  <c r="J30" i="10"/>
  <c r="F11" i="10"/>
  <c r="F16" i="10"/>
  <c r="F20" i="10"/>
  <c r="I31" i="10"/>
  <c r="J31" i="10"/>
  <c r="G11" i="10"/>
  <c r="G16" i="10"/>
  <c r="G20" i="10"/>
  <c r="I32" i="10"/>
  <c r="J32" i="10"/>
  <c r="H11" i="10"/>
  <c r="H16" i="10"/>
  <c r="H20" i="10"/>
  <c r="I33" i="10"/>
  <c r="J33" i="10"/>
  <c r="I11" i="10"/>
  <c r="I16" i="10"/>
  <c r="I20" i="10"/>
  <c r="I34" i="10"/>
  <c r="J34" i="10"/>
  <c r="J11" i="10"/>
  <c r="J16" i="10"/>
  <c r="J20" i="10"/>
  <c r="I35" i="10"/>
  <c r="J35" i="10"/>
  <c r="K11" i="10"/>
  <c r="K16" i="10"/>
  <c r="K20" i="10"/>
  <c r="I36" i="10"/>
  <c r="J36" i="10"/>
  <c r="L11" i="10"/>
  <c r="L16" i="10"/>
  <c r="L20" i="10"/>
  <c r="I37" i="10"/>
  <c r="J37" i="10"/>
  <c r="M11" i="10"/>
  <c r="M16" i="10"/>
  <c r="M20" i="10"/>
  <c r="I38" i="10"/>
  <c r="J38" i="10"/>
  <c r="N11" i="10"/>
  <c r="N16" i="10"/>
  <c r="N20" i="10"/>
  <c r="I39" i="10"/>
  <c r="J39" i="10"/>
  <c r="O11" i="10"/>
  <c r="O16" i="10"/>
  <c r="O20" i="10"/>
  <c r="I40" i="10"/>
  <c r="J40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B33" i="10"/>
  <c r="C32" i="10"/>
  <c r="B32" i="10"/>
  <c r="C31" i="10"/>
  <c r="B31" i="10"/>
  <c r="C30" i="10"/>
  <c r="B30" i="10"/>
  <c r="C29" i="10"/>
  <c r="B29" i="10"/>
  <c r="B28" i="10"/>
  <c r="B22" i="10"/>
  <c r="B16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C46" i="12"/>
  <c r="D46" i="12"/>
  <c r="E46" i="12"/>
  <c r="F46" i="12"/>
  <c r="G46" i="12"/>
  <c r="H46" i="12"/>
  <c r="I46" i="12"/>
  <c r="J46" i="12"/>
  <c r="K46" i="12"/>
  <c r="L46" i="12"/>
  <c r="M46" i="12"/>
  <c r="N46" i="12"/>
  <c r="B46" i="12"/>
  <c r="D11" i="12"/>
  <c r="D16" i="12"/>
  <c r="D20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27" i="12"/>
  <c r="H27" i="12"/>
  <c r="I27" i="12"/>
  <c r="J27" i="12"/>
  <c r="H28" i="12"/>
  <c r="H29" i="12"/>
  <c r="H30" i="12"/>
  <c r="C11" i="12"/>
  <c r="C16" i="12"/>
  <c r="C20" i="12"/>
  <c r="I28" i="12"/>
  <c r="J28" i="12"/>
  <c r="H31" i="12"/>
  <c r="I29" i="12"/>
  <c r="J29" i="12"/>
  <c r="H33" i="12"/>
  <c r="E11" i="12"/>
  <c r="E16" i="12"/>
  <c r="E20" i="12"/>
  <c r="I30" i="12"/>
  <c r="J30" i="12"/>
  <c r="H34" i="12"/>
  <c r="F11" i="12"/>
  <c r="F16" i="12"/>
  <c r="F20" i="12"/>
  <c r="I31" i="12"/>
  <c r="J31" i="12"/>
  <c r="H32" i="12"/>
  <c r="H35" i="12"/>
  <c r="G11" i="12"/>
  <c r="G16" i="12"/>
  <c r="G20" i="12"/>
  <c r="I32" i="12"/>
  <c r="J32" i="12"/>
  <c r="H36" i="12"/>
  <c r="H11" i="12"/>
  <c r="H16" i="12"/>
  <c r="H20" i="12"/>
  <c r="I33" i="12"/>
  <c r="J33" i="12"/>
  <c r="H37" i="12"/>
  <c r="I11" i="12"/>
  <c r="I16" i="12"/>
  <c r="I20" i="12"/>
  <c r="I34" i="12"/>
  <c r="J34" i="12"/>
  <c r="H38" i="12"/>
  <c r="J11" i="12"/>
  <c r="J16" i="12"/>
  <c r="J20" i="12"/>
  <c r="I35" i="12"/>
  <c r="J35" i="12"/>
  <c r="H39" i="12"/>
  <c r="K11" i="12"/>
  <c r="K16" i="12"/>
  <c r="K20" i="12"/>
  <c r="I36" i="12"/>
  <c r="J36" i="12"/>
  <c r="H40" i="12"/>
  <c r="L11" i="12"/>
  <c r="L16" i="12"/>
  <c r="L20" i="12"/>
  <c r="I37" i="12"/>
  <c r="J37" i="12"/>
  <c r="H41" i="12"/>
  <c r="M11" i="12"/>
  <c r="M16" i="12"/>
  <c r="M20" i="12"/>
  <c r="I38" i="12"/>
  <c r="J38" i="12"/>
  <c r="H42" i="12"/>
  <c r="N11" i="12"/>
  <c r="N16" i="12"/>
  <c r="N20" i="12"/>
  <c r="I39" i="12"/>
  <c r="J39" i="12"/>
  <c r="H43" i="12"/>
  <c r="O11" i="12"/>
  <c r="O16" i="12"/>
  <c r="O20" i="12"/>
  <c r="I40" i="12"/>
  <c r="J40" i="12"/>
  <c r="H44" i="12"/>
  <c r="A46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E34" i="12"/>
  <c r="F34" i="12"/>
  <c r="E35" i="12"/>
  <c r="F35" i="12"/>
  <c r="E36" i="12"/>
  <c r="F36" i="12"/>
  <c r="E37" i="12"/>
  <c r="F37" i="12"/>
  <c r="E38" i="12"/>
  <c r="F38" i="12"/>
  <c r="E39" i="12"/>
  <c r="F39" i="12"/>
  <c r="E40" i="12"/>
  <c r="F40" i="12"/>
  <c r="E41" i="12"/>
  <c r="F41" i="12"/>
  <c r="E42" i="12"/>
  <c r="F42" i="12"/>
  <c r="E43" i="12"/>
  <c r="F43" i="12"/>
  <c r="E44" i="12"/>
  <c r="C43" i="12"/>
  <c r="B43" i="12"/>
  <c r="C42" i="12"/>
  <c r="B42" i="12"/>
  <c r="C41" i="12"/>
  <c r="B41" i="12"/>
  <c r="B20" i="12"/>
  <c r="C40" i="12"/>
  <c r="B40" i="12"/>
  <c r="C39" i="12"/>
  <c r="B39" i="12"/>
  <c r="C38" i="12"/>
  <c r="B38" i="12"/>
  <c r="C37" i="12"/>
  <c r="B37" i="12"/>
  <c r="C36" i="12"/>
  <c r="B36" i="12"/>
  <c r="C35" i="12"/>
  <c r="B35" i="12"/>
  <c r="C34" i="12"/>
  <c r="B34" i="12"/>
  <c r="C33" i="12"/>
  <c r="B33" i="12"/>
  <c r="C32" i="12"/>
  <c r="B32" i="12"/>
  <c r="C31" i="12"/>
  <c r="B31" i="12"/>
  <c r="C30" i="12"/>
  <c r="B30" i="12"/>
  <c r="C29" i="12"/>
  <c r="B29" i="12"/>
  <c r="C28" i="12"/>
  <c r="B28" i="12"/>
  <c r="B22" i="12"/>
  <c r="B16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J70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68" i="9"/>
  <c r="K70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J69" i="9"/>
  <c r="K69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H62" i="9"/>
  <c r="M41" i="9"/>
  <c r="M40" i="9"/>
  <c r="N41" i="9"/>
  <c r="M19" i="9"/>
  <c r="M18" i="9"/>
  <c r="N19" i="9"/>
  <c r="I62" i="9"/>
  <c r="J62" i="9"/>
  <c r="H61" i="9"/>
  <c r="M39" i="9"/>
  <c r="N40" i="9"/>
  <c r="M17" i="9"/>
  <c r="N18" i="9"/>
  <c r="I61" i="9"/>
  <c r="J61" i="9"/>
  <c r="H60" i="9"/>
  <c r="M38" i="9"/>
  <c r="N39" i="9"/>
  <c r="M16" i="9"/>
  <c r="N17" i="9"/>
  <c r="I60" i="9"/>
  <c r="J60" i="9"/>
  <c r="H59" i="9"/>
  <c r="M37" i="9"/>
  <c r="N38" i="9"/>
  <c r="M15" i="9"/>
  <c r="N16" i="9"/>
  <c r="I59" i="9"/>
  <c r="J59" i="9"/>
  <c r="H58" i="9"/>
  <c r="M36" i="9"/>
  <c r="N37" i="9"/>
  <c r="M14" i="9"/>
  <c r="N15" i="9"/>
  <c r="I58" i="9"/>
  <c r="J58" i="9"/>
  <c r="H57" i="9"/>
  <c r="M35" i="9"/>
  <c r="N36" i="9"/>
  <c r="M13" i="9"/>
  <c r="N14" i="9"/>
  <c r="I57" i="9"/>
  <c r="J57" i="9"/>
  <c r="H56" i="9"/>
  <c r="M34" i="9"/>
  <c r="N35" i="9"/>
  <c r="M12" i="9"/>
  <c r="N13" i="9"/>
  <c r="I56" i="9"/>
  <c r="J56" i="9"/>
  <c r="H55" i="9"/>
  <c r="M33" i="9"/>
  <c r="N34" i="9"/>
  <c r="M11" i="9"/>
  <c r="N12" i="9"/>
  <c r="I55" i="9"/>
  <c r="J55" i="9"/>
  <c r="H54" i="9"/>
  <c r="M32" i="9"/>
  <c r="N33" i="9"/>
  <c r="M10" i="9"/>
  <c r="N11" i="9"/>
  <c r="I54" i="9"/>
  <c r="J54" i="9"/>
  <c r="H53" i="9"/>
  <c r="M31" i="9"/>
  <c r="N32" i="9"/>
  <c r="M9" i="9"/>
  <c r="N10" i="9"/>
  <c r="I53" i="9"/>
  <c r="J53" i="9"/>
  <c r="H52" i="9"/>
  <c r="M30" i="9"/>
  <c r="N31" i="9"/>
  <c r="M8" i="9"/>
  <c r="N9" i="9"/>
  <c r="I52" i="9"/>
  <c r="J52" i="9"/>
  <c r="H51" i="9"/>
  <c r="M29" i="9"/>
  <c r="N30" i="9"/>
  <c r="M7" i="9"/>
  <c r="N8" i="9"/>
  <c r="I51" i="9"/>
  <c r="J51" i="9"/>
  <c r="H50" i="9"/>
  <c r="M28" i="9"/>
  <c r="N29" i="9"/>
  <c r="M6" i="9"/>
  <c r="N7" i="9"/>
  <c r="I50" i="9"/>
  <c r="J50" i="9"/>
  <c r="H49" i="9"/>
  <c r="M27" i="9"/>
  <c r="N28" i="9"/>
  <c r="M5" i="9"/>
  <c r="N5" i="9"/>
  <c r="N6" i="9"/>
  <c r="I49" i="9"/>
  <c r="J49" i="9"/>
  <c r="H48" i="9"/>
  <c r="M26" i="9"/>
  <c r="N27" i="9"/>
  <c r="I48" i="9"/>
  <c r="J48" i="9"/>
  <c r="H47" i="9"/>
  <c r="N26" i="9"/>
  <c r="I47" i="9"/>
  <c r="J47" i="9"/>
  <c r="H46" i="9"/>
  <c r="J46" i="9"/>
  <c r="K44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32" i="9"/>
  <c r="O32" i="9"/>
  <c r="P31" i="9"/>
  <c r="O31" i="9"/>
  <c r="P30" i="9"/>
  <c r="O30" i="9"/>
  <c r="P29" i="9"/>
  <c r="O29" i="9"/>
  <c r="P28" i="9"/>
  <c r="O28" i="9"/>
  <c r="P27" i="9"/>
  <c r="O27" i="9"/>
  <c r="P26" i="9"/>
  <c r="O26" i="9"/>
  <c r="K22" i="9"/>
  <c r="L22" i="9"/>
  <c r="N22" i="9"/>
  <c r="O22" i="9"/>
  <c r="P22" i="9"/>
  <c r="P19" i="9"/>
  <c r="O19" i="9"/>
  <c r="P18" i="9"/>
  <c r="O18" i="9"/>
  <c r="P17" i="9"/>
  <c r="O17" i="9"/>
  <c r="P16" i="9"/>
  <c r="O16" i="9"/>
  <c r="P15" i="9"/>
  <c r="O15" i="9"/>
  <c r="P14" i="9"/>
  <c r="O14" i="9"/>
  <c r="P13" i="9"/>
  <c r="O13" i="9"/>
  <c r="P12" i="9"/>
  <c r="O12" i="9"/>
  <c r="P11" i="9"/>
  <c r="O11" i="9"/>
  <c r="P10" i="9"/>
  <c r="O10" i="9"/>
  <c r="P9" i="9"/>
  <c r="O9" i="9"/>
  <c r="P8" i="9"/>
  <c r="O8" i="9"/>
  <c r="P7" i="9"/>
  <c r="O7" i="9"/>
  <c r="P6" i="9"/>
  <c r="O6" i="9"/>
  <c r="P5" i="9"/>
  <c r="O5" i="9"/>
  <c r="P4" i="9"/>
  <c r="O4" i="9"/>
  <c r="M4" i="9"/>
  <c r="D3" i="7"/>
  <c r="D4" i="7"/>
  <c r="D5" i="7"/>
  <c r="D6" i="7"/>
  <c r="D7" i="7"/>
  <c r="D8" i="7"/>
  <c r="D9" i="7"/>
  <c r="D10" i="7"/>
  <c r="D11" i="7"/>
  <c r="D12" i="7"/>
  <c r="D13" i="7"/>
  <c r="D14" i="7"/>
  <c r="D15" i="7"/>
  <c r="D2" i="7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46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27" i="8"/>
  <c r="H27" i="8"/>
  <c r="H29" i="8"/>
  <c r="H28" i="8"/>
  <c r="H30" i="8"/>
  <c r="C11" i="8"/>
  <c r="F27" i="8"/>
  <c r="E28" i="8"/>
  <c r="F28" i="8"/>
  <c r="E29" i="8"/>
  <c r="F29" i="8"/>
  <c r="E30" i="8"/>
  <c r="F30" i="8"/>
  <c r="E31" i="8"/>
  <c r="F31" i="8"/>
  <c r="H31" i="8"/>
  <c r="E32" i="8"/>
  <c r="F32" i="8"/>
  <c r="H32" i="8"/>
  <c r="E33" i="8"/>
  <c r="F33" i="8"/>
  <c r="H33" i="8"/>
  <c r="E34" i="8"/>
  <c r="F34" i="8"/>
  <c r="H34" i="8"/>
  <c r="E35" i="8"/>
  <c r="F35" i="8"/>
  <c r="H35" i="8"/>
  <c r="E36" i="8"/>
  <c r="F36" i="8"/>
  <c r="H36" i="8"/>
  <c r="E37" i="8"/>
  <c r="F37" i="8"/>
  <c r="H37" i="8"/>
  <c r="E38" i="8"/>
  <c r="F38" i="8"/>
  <c r="H38" i="8"/>
  <c r="E39" i="8"/>
  <c r="F39" i="8"/>
  <c r="H39" i="8"/>
  <c r="E40" i="8"/>
  <c r="F40" i="8"/>
  <c r="H40" i="8"/>
  <c r="E41" i="8"/>
  <c r="F41" i="8"/>
  <c r="H41" i="8"/>
  <c r="E42" i="8"/>
  <c r="F42" i="8"/>
  <c r="H42" i="8"/>
  <c r="E43" i="8"/>
  <c r="F43" i="8"/>
  <c r="H43" i="8"/>
  <c r="H44" i="8"/>
  <c r="E44" i="8"/>
  <c r="C43" i="8"/>
  <c r="B43" i="8"/>
  <c r="C42" i="8"/>
  <c r="B42" i="8"/>
  <c r="C41" i="8"/>
  <c r="B41" i="8"/>
  <c r="B20" i="8"/>
  <c r="I27" i="8"/>
  <c r="J27" i="8"/>
  <c r="C16" i="8"/>
  <c r="C20" i="8"/>
  <c r="I28" i="8"/>
  <c r="J28" i="8"/>
  <c r="D11" i="8"/>
  <c r="D16" i="8"/>
  <c r="D20" i="8"/>
  <c r="I29" i="8"/>
  <c r="J29" i="8"/>
  <c r="E11" i="8"/>
  <c r="E16" i="8"/>
  <c r="E20" i="8"/>
  <c r="I30" i="8"/>
  <c r="J30" i="8"/>
  <c r="F11" i="8"/>
  <c r="F16" i="8"/>
  <c r="F20" i="8"/>
  <c r="I31" i="8"/>
  <c r="J31" i="8"/>
  <c r="G11" i="8"/>
  <c r="G16" i="8"/>
  <c r="G20" i="8"/>
  <c r="I32" i="8"/>
  <c r="J32" i="8"/>
  <c r="H11" i="8"/>
  <c r="H16" i="8"/>
  <c r="H20" i="8"/>
  <c r="I33" i="8"/>
  <c r="J33" i="8"/>
  <c r="I11" i="8"/>
  <c r="I16" i="8"/>
  <c r="I20" i="8"/>
  <c r="I34" i="8"/>
  <c r="J34" i="8"/>
  <c r="J11" i="8"/>
  <c r="J16" i="8"/>
  <c r="J20" i="8"/>
  <c r="I35" i="8"/>
  <c r="J35" i="8"/>
  <c r="K11" i="8"/>
  <c r="K16" i="8"/>
  <c r="K20" i="8"/>
  <c r="I36" i="8"/>
  <c r="J36" i="8"/>
  <c r="L11" i="8"/>
  <c r="L16" i="8"/>
  <c r="L20" i="8"/>
  <c r="I37" i="8"/>
  <c r="J37" i="8"/>
  <c r="M11" i="8"/>
  <c r="M16" i="8"/>
  <c r="M20" i="8"/>
  <c r="I38" i="8"/>
  <c r="J38" i="8"/>
  <c r="N11" i="8"/>
  <c r="N16" i="8"/>
  <c r="N20" i="8"/>
  <c r="I39" i="8"/>
  <c r="J39" i="8"/>
  <c r="O11" i="8"/>
  <c r="O16" i="8"/>
  <c r="O20" i="8"/>
  <c r="I40" i="8"/>
  <c r="J40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B22" i="8"/>
  <c r="B16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B3" i="7"/>
  <c r="B4" i="7"/>
  <c r="B5" i="7"/>
  <c r="B6" i="7"/>
  <c r="B7" i="7"/>
  <c r="B8" i="7"/>
  <c r="B9" i="7"/>
  <c r="B10" i="7"/>
  <c r="B11" i="7"/>
  <c r="B12" i="7"/>
  <c r="B13" i="7"/>
  <c r="B14" i="7"/>
  <c r="B15" i="7"/>
  <c r="B2" i="7"/>
  <c r="C3" i="6"/>
  <c r="D3" i="6"/>
  <c r="E3" i="6"/>
  <c r="F3" i="6"/>
  <c r="G3" i="6"/>
  <c r="H3" i="6"/>
  <c r="I3" i="6"/>
  <c r="J3" i="6"/>
  <c r="K3" i="6"/>
  <c r="L3" i="6"/>
  <c r="M3" i="6"/>
  <c r="N3" i="6"/>
  <c r="B3" i="6"/>
  <c r="A3" i="6"/>
  <c r="J29" i="5"/>
  <c r="J30" i="5"/>
  <c r="J31" i="5"/>
  <c r="J32" i="5"/>
  <c r="J33" i="5"/>
  <c r="J34" i="5"/>
  <c r="J35" i="5"/>
  <c r="J36" i="5"/>
  <c r="J37" i="5"/>
  <c r="J38" i="5"/>
  <c r="J39" i="5"/>
  <c r="J40" i="5"/>
  <c r="I40" i="5"/>
  <c r="I39" i="5"/>
  <c r="I38" i="5"/>
  <c r="I37" i="5"/>
  <c r="I36" i="5"/>
  <c r="I35" i="5"/>
  <c r="I34" i="5"/>
  <c r="I33" i="5"/>
  <c r="I32" i="5"/>
  <c r="I31" i="5"/>
  <c r="I30" i="5"/>
  <c r="I28" i="5"/>
  <c r="J27" i="5"/>
  <c r="I27" i="5"/>
  <c r="D16" i="5"/>
  <c r="E16" i="5"/>
  <c r="F16" i="5"/>
  <c r="G16" i="5"/>
  <c r="H16" i="5"/>
  <c r="I16" i="5"/>
  <c r="J16" i="5"/>
  <c r="K16" i="5"/>
  <c r="L16" i="5"/>
  <c r="M16" i="5"/>
  <c r="N16" i="5"/>
  <c r="O16" i="5"/>
  <c r="D14" i="5"/>
  <c r="E14" i="5"/>
  <c r="F14" i="5"/>
  <c r="G14" i="5"/>
  <c r="H14" i="5"/>
  <c r="I14" i="5"/>
  <c r="J14" i="5"/>
  <c r="K14" i="5"/>
  <c r="L14" i="5"/>
  <c r="M14" i="5"/>
  <c r="N14" i="5"/>
  <c r="O14" i="5"/>
  <c r="C14" i="5"/>
  <c r="O20" i="5"/>
  <c r="O12" i="5"/>
  <c r="C43" i="5"/>
  <c r="B43" i="5"/>
  <c r="E43" i="5"/>
  <c r="F43" i="5"/>
  <c r="G43" i="5"/>
  <c r="H43" i="5"/>
  <c r="O11" i="5"/>
  <c r="C29" i="5"/>
  <c r="B29" i="5"/>
  <c r="E29" i="5"/>
  <c r="F29" i="5"/>
  <c r="G29" i="5"/>
  <c r="H29" i="5"/>
  <c r="C28" i="5"/>
  <c r="B28" i="5"/>
  <c r="E28" i="5"/>
  <c r="F28" i="5"/>
  <c r="G28" i="5"/>
  <c r="H28" i="5"/>
  <c r="C30" i="5"/>
  <c r="B30" i="5"/>
  <c r="E30" i="5"/>
  <c r="F30" i="5"/>
  <c r="G30" i="5"/>
  <c r="H30" i="5"/>
  <c r="F27" i="5"/>
  <c r="G27" i="5"/>
  <c r="H27" i="5"/>
  <c r="C11" i="5"/>
  <c r="C20" i="5"/>
  <c r="C31" i="5"/>
  <c r="B31" i="5"/>
  <c r="E31" i="5"/>
  <c r="F31" i="5"/>
  <c r="G31" i="5"/>
  <c r="H31" i="5"/>
  <c r="D11" i="5"/>
  <c r="D20" i="5"/>
  <c r="C33" i="5"/>
  <c r="B33" i="5"/>
  <c r="E33" i="5"/>
  <c r="F33" i="5"/>
  <c r="G33" i="5"/>
  <c r="H33" i="5"/>
  <c r="E11" i="5"/>
  <c r="E20" i="5"/>
  <c r="C34" i="5"/>
  <c r="B34" i="5"/>
  <c r="E34" i="5"/>
  <c r="F34" i="5"/>
  <c r="G34" i="5"/>
  <c r="H34" i="5"/>
  <c r="F11" i="5"/>
  <c r="F20" i="5"/>
  <c r="C35" i="5"/>
  <c r="B35" i="5"/>
  <c r="E35" i="5"/>
  <c r="F35" i="5"/>
  <c r="G35" i="5"/>
  <c r="H35" i="5"/>
  <c r="G11" i="5"/>
  <c r="G20" i="5"/>
  <c r="C36" i="5"/>
  <c r="B36" i="5"/>
  <c r="E36" i="5"/>
  <c r="F36" i="5"/>
  <c r="G36" i="5"/>
  <c r="H36" i="5"/>
  <c r="H11" i="5"/>
  <c r="H20" i="5"/>
  <c r="C37" i="5"/>
  <c r="B37" i="5"/>
  <c r="E37" i="5"/>
  <c r="F37" i="5"/>
  <c r="G37" i="5"/>
  <c r="H37" i="5"/>
  <c r="I11" i="5"/>
  <c r="I20" i="5"/>
  <c r="C38" i="5"/>
  <c r="B38" i="5"/>
  <c r="E38" i="5"/>
  <c r="F38" i="5"/>
  <c r="G38" i="5"/>
  <c r="H38" i="5"/>
  <c r="J11" i="5"/>
  <c r="J20" i="5"/>
  <c r="C39" i="5"/>
  <c r="B39" i="5"/>
  <c r="E39" i="5"/>
  <c r="F39" i="5"/>
  <c r="G39" i="5"/>
  <c r="H39" i="5"/>
  <c r="K11" i="5"/>
  <c r="K20" i="5"/>
  <c r="C40" i="5"/>
  <c r="B40" i="5"/>
  <c r="E40" i="5"/>
  <c r="F40" i="5"/>
  <c r="G40" i="5"/>
  <c r="H40" i="5"/>
  <c r="L11" i="5"/>
  <c r="L20" i="5"/>
  <c r="C41" i="5"/>
  <c r="B41" i="5"/>
  <c r="E41" i="5"/>
  <c r="F41" i="5"/>
  <c r="G41" i="5"/>
  <c r="H41" i="5"/>
  <c r="M11" i="5"/>
  <c r="M20" i="5"/>
  <c r="C42" i="5"/>
  <c r="B42" i="5"/>
  <c r="E42" i="5"/>
  <c r="F42" i="5"/>
  <c r="G42" i="5"/>
  <c r="H42" i="5"/>
  <c r="N11" i="5"/>
  <c r="N20" i="5"/>
  <c r="B22" i="5"/>
  <c r="C12" i="5"/>
  <c r="D12" i="5"/>
  <c r="E12" i="5"/>
  <c r="F12" i="5"/>
  <c r="G12" i="5"/>
  <c r="H12" i="5"/>
  <c r="I12" i="5"/>
  <c r="J12" i="5"/>
  <c r="K12" i="5"/>
  <c r="L12" i="5"/>
  <c r="M12" i="5"/>
  <c r="N12" i="5"/>
  <c r="B12" i="5"/>
  <c r="C32" i="5"/>
  <c r="B32" i="5"/>
  <c r="E32" i="5"/>
  <c r="F32" i="5"/>
  <c r="G32" i="5"/>
  <c r="H32" i="5"/>
  <c r="H44" i="5"/>
  <c r="E44" i="5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26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4" i="1"/>
  <c r="J70" i="1"/>
  <c r="K70" i="1"/>
  <c r="J68" i="1"/>
  <c r="J69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48" i="1"/>
  <c r="I47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49" i="1"/>
  <c r="H48" i="1"/>
  <c r="H47" i="1"/>
  <c r="H46" i="1"/>
  <c r="N30" i="1"/>
  <c r="N31" i="1"/>
  <c r="N32" i="1"/>
  <c r="N33" i="1"/>
  <c r="N34" i="1"/>
  <c r="N35" i="1"/>
  <c r="N36" i="1"/>
  <c r="N37" i="1"/>
  <c r="N38" i="1"/>
  <c r="N39" i="1"/>
  <c r="N40" i="1"/>
  <c r="N41" i="1"/>
  <c r="N29" i="1"/>
  <c r="N28" i="1"/>
  <c r="N27" i="1"/>
  <c r="N26" i="1"/>
  <c r="N9" i="1"/>
  <c r="N10" i="1"/>
  <c r="N11" i="1"/>
  <c r="N12" i="1"/>
  <c r="N13" i="1"/>
  <c r="N14" i="1"/>
  <c r="N15" i="1"/>
  <c r="N16" i="1"/>
  <c r="N17" i="1"/>
  <c r="N18" i="1"/>
  <c r="N19" i="1"/>
  <c r="N8" i="1"/>
  <c r="N7" i="1"/>
  <c r="N6" i="1"/>
  <c r="P22" i="1"/>
  <c r="O22" i="1"/>
  <c r="N22" i="1"/>
  <c r="L22" i="1"/>
  <c r="K22" i="1"/>
  <c r="K44" i="1"/>
  <c r="N5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26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4" i="1"/>
  <c r="B20" i="5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26" i="3"/>
  <c r="M25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26" i="3"/>
  <c r="N25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69" i="1"/>
</calcChain>
</file>

<file path=xl/sharedStrings.xml><?xml version="1.0" encoding="utf-8"?>
<sst xmlns="http://schemas.openxmlformats.org/spreadsheetml/2006/main" count="257" uniqueCount="68">
  <si>
    <t>MLT_BC</t>
  </si>
  <si>
    <t>NW</t>
  </si>
  <si>
    <t>BC</t>
  </si>
  <si>
    <t>Production from 10.01.2012</t>
  </si>
  <si>
    <t>A-39A</t>
  </si>
  <si>
    <t>B-37</t>
  </si>
  <si>
    <t>New Well</t>
  </si>
  <si>
    <t>MLT</t>
  </si>
  <si>
    <t>Oil produced</t>
  </si>
  <si>
    <t>Difference from BC</t>
  </si>
  <si>
    <t xml:space="preserve">BC </t>
  </si>
  <si>
    <t>New well</t>
  </si>
  <si>
    <t>INJECTION WELL</t>
  </si>
  <si>
    <t>RATE</t>
  </si>
  <si>
    <t>PRODUCTION</t>
  </si>
  <si>
    <t xml:space="preserve">Bottom hole pressure </t>
  </si>
  <si>
    <t>year</t>
  </si>
  <si>
    <t>Capital expenditure</t>
  </si>
  <si>
    <t xml:space="preserve">Cash in </t>
  </si>
  <si>
    <t>Operating Costs</t>
  </si>
  <si>
    <t>Tax</t>
  </si>
  <si>
    <t>Net cash flow</t>
  </si>
  <si>
    <t>Discount rate</t>
  </si>
  <si>
    <t>Periode</t>
  </si>
  <si>
    <t xml:space="preserve">Discounted cash flow </t>
  </si>
  <si>
    <t>Net present value</t>
  </si>
  <si>
    <t>NOK/USD</t>
  </si>
  <si>
    <t>Dollar exchange rate</t>
  </si>
  <si>
    <t>p.a</t>
  </si>
  <si>
    <t>bbl</t>
  </si>
  <si>
    <t>1m^3</t>
  </si>
  <si>
    <t>USD/bbl</t>
  </si>
  <si>
    <t>Inflation rate</t>
  </si>
  <si>
    <t>m^3</t>
  </si>
  <si>
    <t>1bbl</t>
  </si>
  <si>
    <t>Oil price</t>
  </si>
  <si>
    <t>Assumption:</t>
  </si>
  <si>
    <t>Production loss total</t>
  </si>
  <si>
    <t>Total production Base case</t>
  </si>
  <si>
    <t>Total production new wells</t>
  </si>
  <si>
    <t>Date</t>
  </si>
  <si>
    <t>production loss each year</t>
  </si>
  <si>
    <t>Production loss each year</t>
  </si>
  <si>
    <t>Production</t>
  </si>
  <si>
    <t>production loss</t>
  </si>
  <si>
    <t>total production nw</t>
  </si>
  <si>
    <t>Total production</t>
  </si>
  <si>
    <t>production</t>
  </si>
  <si>
    <t>Relative</t>
  </si>
  <si>
    <t>Total</t>
  </si>
  <si>
    <t>Bc</t>
  </si>
  <si>
    <t>new</t>
  </si>
  <si>
    <t>total production bc</t>
  </si>
  <si>
    <t>total sm3</t>
  </si>
  <si>
    <t>t</t>
  </si>
  <si>
    <t>total bbl</t>
  </si>
  <si>
    <t>revenue in dollars</t>
  </si>
  <si>
    <t>revenue in NOK</t>
  </si>
  <si>
    <t>formula applied</t>
  </si>
  <si>
    <t xml:space="preserve">discountet value </t>
  </si>
  <si>
    <r>
      <t>P</t>
    </r>
    <r>
      <rPr>
        <vertAlign val="subscript"/>
        <sz val="24"/>
        <color rgb="FFCC0000"/>
        <rFont val="Arial"/>
      </rPr>
      <t>0</t>
    </r>
    <r>
      <rPr>
        <sz val="24"/>
        <color rgb="FFCC0000"/>
        <rFont val="Arial"/>
      </rPr>
      <t xml:space="preserve"> = F</t>
    </r>
    <r>
      <rPr>
        <vertAlign val="subscript"/>
        <sz val="24"/>
        <color rgb="FFCC0000"/>
        <rFont val="Arial"/>
      </rPr>
      <t>k</t>
    </r>
    <r>
      <rPr>
        <sz val="24"/>
        <color rgb="FFCC0000"/>
        <rFont val="Arial"/>
      </rPr>
      <t>(1 + i)</t>
    </r>
    <r>
      <rPr>
        <vertAlign val="superscript"/>
        <sz val="24"/>
        <color rgb="FFCC0000"/>
        <rFont val="Arial"/>
      </rPr>
      <t>-k</t>
    </r>
  </si>
  <si>
    <t>Discount factor</t>
  </si>
  <si>
    <t>discounted cash flow</t>
  </si>
  <si>
    <t>Cumulativ NPV</t>
  </si>
  <si>
    <t>Real case</t>
  </si>
  <si>
    <t>total bbl with 5 % decrease</t>
  </si>
  <si>
    <t>Sensitivity case dollar price</t>
  </si>
  <si>
    <t>sensitivity decrease in prodution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</si>
</sst>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NOK&quot;\ * #,##0.00_-;\-&quot;NOK&quot;\ * #,##0.00_-;_-&quot;NOK&quot;\ * &quot;-&quot;??_-;_-@_-"/>
    <numFmt numFmtId="43" formatCode="_-* #,##0.00_-;\-* #,##0.00_-;_-* &quot;-&quot;??_-;_-@_-"/>
    <numFmt numFmtId="164" formatCode="d/m/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sz val="12"/>
      <color rgb="FFCC0066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mbria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sz val="24"/>
      <color rgb="FFCC0000"/>
      <name val="Arial"/>
    </font>
    <font>
      <vertAlign val="subscript"/>
      <sz val="24"/>
      <color rgb="FFCC0000"/>
      <name val="Arial"/>
    </font>
    <font>
      <vertAlign val="superscript"/>
      <sz val="24"/>
      <color rgb="FFCC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14" fontId="0" fillId="0" borderId="0" xfId="0" applyNumberFormat="1"/>
    <xf numFmtId="1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1" xfId="0" applyFill="1" applyBorder="1"/>
    <xf numFmtId="14" fontId="0" fillId="4" borderId="1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2" fillId="2" borderId="1" xfId="0" applyFont="1" applyFill="1" applyBorder="1"/>
    <xf numFmtId="14" fontId="0" fillId="2" borderId="1" xfId="0" applyNumberFormat="1" applyFont="1" applyFill="1" applyBorder="1"/>
    <xf numFmtId="11" fontId="0" fillId="3" borderId="1" xfId="0" applyNumberFormat="1" applyFill="1" applyBorder="1"/>
    <xf numFmtId="11" fontId="0" fillId="2" borderId="1" xfId="0" applyNumberFormat="1" applyFill="1" applyBorder="1"/>
    <xf numFmtId="11" fontId="0" fillId="4" borderId="1" xfId="0" applyNumberFormat="1" applyFill="1" applyBorder="1"/>
    <xf numFmtId="0" fontId="6" fillId="0" borderId="0" xfId="0" applyFont="1" applyAlignment="1">
      <alignment horizontal="right" vertical="center" wrapText="1"/>
    </xf>
    <xf numFmtId="0" fontId="0" fillId="0" borderId="2" xfId="0" applyBorder="1"/>
    <xf numFmtId="0" fontId="1" fillId="0" borderId="0" xfId="0" applyFont="1"/>
    <xf numFmtId="10" fontId="1" fillId="0" borderId="0" xfId="0" applyNumberFormat="1" applyFont="1"/>
    <xf numFmtId="0" fontId="7" fillId="0" borderId="0" xfId="0" applyFont="1"/>
    <xf numFmtId="10" fontId="7" fillId="0" borderId="0" xfId="0" applyNumberFormat="1" applyFont="1"/>
    <xf numFmtId="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0" fontId="9" fillId="0" borderId="0" xfId="0" applyNumberFormat="1" applyFont="1"/>
    <xf numFmtId="0" fontId="11" fillId="0" borderId="0" xfId="0" applyFont="1"/>
    <xf numFmtId="43" fontId="0" fillId="0" borderId="0" xfId="25" applyFont="1"/>
    <xf numFmtId="2" fontId="0" fillId="2" borderId="1" xfId="0" applyNumberFormat="1" applyFill="1" applyBorder="1"/>
    <xf numFmtId="0" fontId="12" fillId="3" borderId="1" xfId="0" applyFont="1" applyFill="1" applyBorder="1"/>
    <xf numFmtId="2" fontId="12" fillId="3" borderId="1" xfId="0" applyNumberFormat="1" applyFont="1" applyFill="1" applyBorder="1"/>
    <xf numFmtId="2" fontId="12" fillId="5" borderId="1" xfId="0" applyNumberFormat="1" applyFont="1" applyFill="1" applyBorder="1"/>
    <xf numFmtId="2" fontId="0" fillId="0" borderId="1" xfId="0" applyNumberFormat="1" applyBorder="1"/>
    <xf numFmtId="0" fontId="13" fillId="0" borderId="0" xfId="0" applyFont="1" applyAlignment="1">
      <alignment horizontal="left" vertical="center"/>
    </xf>
    <xf numFmtId="2" fontId="0" fillId="0" borderId="2" xfId="0" applyNumberFormat="1" applyBorder="1"/>
    <xf numFmtId="0" fontId="0" fillId="0" borderId="1" xfId="0" applyBorder="1"/>
    <xf numFmtId="44" fontId="0" fillId="0" borderId="3" xfId="26" applyFont="1" applyBorder="1"/>
    <xf numFmtId="2" fontId="11" fillId="0" borderId="0" xfId="0" applyNumberFormat="1" applyFont="1"/>
  </cellXfs>
  <cellStyles count="111">
    <cellStyle name="Fulgt hyperkobling" xfId="2" builtinId="9" hidden="1"/>
    <cellStyle name="Fulgt hyperkobling" xfId="4" builtinId="9" hidden="1"/>
    <cellStyle name="Fulgt hyperkobling" xfId="6" builtinId="9" hidden="1"/>
    <cellStyle name="Fulgt hyperkobling" xfId="8" builtinId="9" hidden="1"/>
    <cellStyle name="Fulgt hyperkobling" xfId="10" builtinId="9" hidden="1"/>
    <cellStyle name="Fulgt hyperkobling" xfId="12" builtinId="9" hidden="1"/>
    <cellStyle name="Fulgt hyperkobling" xfId="14" builtinId="9" hidden="1"/>
    <cellStyle name="Fulgt hyperkobling" xfId="16" builtinId="9" hidden="1"/>
    <cellStyle name="Fulgt hyperkobling" xfId="18" builtinId="9" hidden="1"/>
    <cellStyle name="Fulgt hyperkobling" xfId="20" builtinId="9" hidden="1"/>
    <cellStyle name="Fulgt hyperkobling" xfId="22" builtinId="9" hidden="1"/>
    <cellStyle name="Fulgt hyperkobling" xfId="24" builtinId="9" hidden="1"/>
    <cellStyle name="Fulgt hyperkobling" xfId="28" builtinId="9" hidden="1"/>
    <cellStyle name="Fulgt hyperkobling" xfId="30" builtinId="9" hidden="1"/>
    <cellStyle name="Fulgt hyperkobling" xfId="32" builtinId="9" hidden="1"/>
    <cellStyle name="Fulgt hyperkobling" xfId="34" builtinId="9" hidden="1"/>
    <cellStyle name="Fulgt hyperkobling" xfId="36" builtinId="9" hidden="1"/>
    <cellStyle name="Fulgt hyperkobling" xfId="38" builtinId="9" hidden="1"/>
    <cellStyle name="Fulgt hyperkobling" xfId="40" builtinId="9" hidden="1"/>
    <cellStyle name="Fulgt hyperkobling" xfId="42" builtinId="9" hidden="1"/>
    <cellStyle name="Fulgt hyperkobling" xfId="44" builtinId="9" hidden="1"/>
    <cellStyle name="Fulgt hyperkobling" xfId="46" builtinId="9" hidden="1"/>
    <cellStyle name="Fulgt hyperkobling" xfId="48" builtinId="9" hidden="1"/>
    <cellStyle name="Fulgt hyperkobling" xfId="50" builtinId="9" hidden="1"/>
    <cellStyle name="Fulgt hyperkobling" xfId="52" builtinId="9" hidden="1"/>
    <cellStyle name="Fulgt hyperkobling" xfId="54" builtinId="9" hidden="1"/>
    <cellStyle name="Fulgt hyperkobling" xfId="56" builtinId="9" hidden="1"/>
    <cellStyle name="Fulgt hyperkobling" xfId="58" builtinId="9" hidden="1"/>
    <cellStyle name="Fulgt hyperkobling" xfId="60" builtinId="9" hidden="1"/>
    <cellStyle name="Fulgt hyperkobling" xfId="62" builtinId="9" hidden="1"/>
    <cellStyle name="Fulgt hyperkobling" xfId="64" builtinId="9" hidden="1"/>
    <cellStyle name="Fulgt hyperkobling" xfId="66" builtinId="9" hidden="1"/>
    <cellStyle name="Fulgt hyperkobling" xfId="68" builtinId="9" hidden="1"/>
    <cellStyle name="Fulgt hyperkobling" xfId="70" builtinId="9" hidden="1"/>
    <cellStyle name="Fulgt hyperkobling" xfId="72" builtinId="9" hidden="1"/>
    <cellStyle name="Fulgt hyperkobling" xfId="74" builtinId="9" hidden="1"/>
    <cellStyle name="Fulgt hyperkobling" xfId="76" builtinId="9" hidden="1"/>
    <cellStyle name="Fulgt hyperkobling" xfId="78" builtinId="9" hidden="1"/>
    <cellStyle name="Fulgt hyperkobling" xfId="80" builtinId="9" hidden="1"/>
    <cellStyle name="Fulgt hyperkobling" xfId="82" builtinId="9" hidden="1"/>
    <cellStyle name="Fulgt hyperkobling" xfId="84" builtinId="9" hidden="1"/>
    <cellStyle name="Fulgt hyperkobling" xfId="86" builtinId="9" hidden="1"/>
    <cellStyle name="Fulgt hyperkobling" xfId="88" builtinId="9" hidden="1"/>
    <cellStyle name="Fulgt hyperkobling" xfId="90" builtinId="9" hidden="1"/>
    <cellStyle name="Fulgt hyperkobling" xfId="92" builtinId="9" hidden="1"/>
    <cellStyle name="Fulgt hyperkobling" xfId="94" builtinId="9" hidden="1"/>
    <cellStyle name="Fulgt hyperkobling" xfId="96" builtinId="9" hidden="1"/>
    <cellStyle name="Fulgt hyperkobling" xfId="98" builtinId="9" hidden="1"/>
    <cellStyle name="Fulgt hyperkobling" xfId="100" builtinId="9" hidden="1"/>
    <cellStyle name="Fulgt hyperkobling" xfId="102" builtinId="9" hidden="1"/>
    <cellStyle name="Fulgt hyperkobling" xfId="104" builtinId="9" hidden="1"/>
    <cellStyle name="Fulgt hyperkobling" xfId="106" builtinId="9" hidden="1"/>
    <cellStyle name="Fulgt hyperkobling" xfId="108" builtinId="9" hidden="1"/>
    <cellStyle name="Fulgt hyperkobling" xfId="110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Komma" xfId="25" builtinId="3"/>
    <cellStyle name="Normal" xfId="0" builtinId="0"/>
    <cellStyle name="Valuta" xfId="2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Well</a:t>
            </a:r>
            <a:r>
              <a:rPr lang="nb-NO" baseline="0"/>
              <a:t> A-39A</a:t>
            </a:r>
            <a:endParaRPr lang="nb-NO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'Wopt new graphs'!$J$2</c:f>
              <c:strCache>
                <c:ptCount val="1"/>
                <c:pt idx="0">
                  <c:v>BC</c:v>
                </c:pt>
              </c:strCache>
            </c:strRef>
          </c:tx>
          <c:marker>
            <c:symbol val="none"/>
          </c:marker>
          <c:cat>
            <c:numRef>
              <c:f>'Wopt new graphs'!$I$4:$I$19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'Wopt new graphs'!$J$4:$J$19</c:f>
              <c:numCache>
                <c:formatCode>General</c:formatCode>
                <c:ptCount val="16"/>
                <c:pt idx="0">
                  <c:v>25381.0</c:v>
                </c:pt>
                <c:pt idx="1">
                  <c:v>25555.0</c:v>
                </c:pt>
                <c:pt idx="2">
                  <c:v>61617.0</c:v>
                </c:pt>
                <c:pt idx="3">
                  <c:v>85949.0</c:v>
                </c:pt>
                <c:pt idx="4">
                  <c:v>118761.0</c:v>
                </c:pt>
                <c:pt idx="5">
                  <c:v>170855.0</c:v>
                </c:pt>
                <c:pt idx="6">
                  <c:v>218945.0</c:v>
                </c:pt>
                <c:pt idx="7">
                  <c:v>263909.0</c:v>
                </c:pt>
                <c:pt idx="8">
                  <c:v>306014.0</c:v>
                </c:pt>
                <c:pt idx="9">
                  <c:v>345810.0</c:v>
                </c:pt>
                <c:pt idx="10">
                  <c:v>383612.0</c:v>
                </c:pt>
                <c:pt idx="11">
                  <c:v>419754.0</c:v>
                </c:pt>
                <c:pt idx="12">
                  <c:v>454098.0</c:v>
                </c:pt>
                <c:pt idx="13">
                  <c:v>486687.0</c:v>
                </c:pt>
                <c:pt idx="14">
                  <c:v>517566.0</c:v>
                </c:pt>
                <c:pt idx="15">
                  <c:v>547000.0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'Wopt new graphs'!$K$2</c:f>
              <c:strCache>
                <c:ptCount val="1"/>
                <c:pt idx="0">
                  <c:v>MLT_BC</c:v>
                </c:pt>
              </c:strCache>
            </c:strRef>
          </c:tx>
          <c:marker>
            <c:symbol val="none"/>
          </c:marker>
          <c:cat>
            <c:numRef>
              <c:f>'Wopt new graphs'!$I$4:$I$19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'Wopt new graphs'!$K$4:$K$19</c:f>
              <c:numCache>
                <c:formatCode>General</c:formatCode>
                <c:ptCount val="16"/>
                <c:pt idx="0">
                  <c:v>20966.0</c:v>
                </c:pt>
                <c:pt idx="1">
                  <c:v>21110.0</c:v>
                </c:pt>
                <c:pt idx="2">
                  <c:v>50739.0</c:v>
                </c:pt>
                <c:pt idx="3">
                  <c:v>70747.0</c:v>
                </c:pt>
                <c:pt idx="4">
                  <c:v>97932.0</c:v>
                </c:pt>
                <c:pt idx="5">
                  <c:v>141735.0</c:v>
                </c:pt>
                <c:pt idx="6">
                  <c:v>182927.0</c:v>
                </c:pt>
                <c:pt idx="7">
                  <c:v>222034.0</c:v>
                </c:pt>
                <c:pt idx="8">
                  <c:v>259149.0</c:v>
                </c:pt>
                <c:pt idx="9">
                  <c:v>294571.0</c:v>
                </c:pt>
                <c:pt idx="10">
                  <c:v>328376.0</c:v>
                </c:pt>
                <c:pt idx="11">
                  <c:v>360772.0</c:v>
                </c:pt>
                <c:pt idx="12">
                  <c:v>391781.0</c:v>
                </c:pt>
                <c:pt idx="13">
                  <c:v>421622.0</c:v>
                </c:pt>
                <c:pt idx="14">
                  <c:v>450410.0</c:v>
                </c:pt>
                <c:pt idx="15">
                  <c:v>478296.0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088024"/>
        <c:axId val="649093416"/>
      </c:lineChart>
      <c:dateAx>
        <c:axId val="649088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Date</a:t>
                </a:r>
              </a:p>
            </c:rich>
          </c:tx>
          <c:layout/>
          <c:overlay val="0"/>
        </c:title>
        <c:numFmt formatCode="d:m:yy;@" sourceLinked="1"/>
        <c:majorTickMark val="out"/>
        <c:minorTickMark val="none"/>
        <c:tickLblPos val="nextTo"/>
        <c:crossAx val="649093416"/>
        <c:crosses val="autoZero"/>
        <c:auto val="1"/>
        <c:lblOffset val="100"/>
        <c:baseTimeUnit val="days"/>
      </c:dateAx>
      <c:valAx>
        <c:axId val="649093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Oil</a:t>
                </a:r>
                <a:r>
                  <a:rPr lang="nb-NO" baseline="0"/>
                  <a:t> production SM3</a:t>
                </a:r>
                <a:endParaRPr lang="nb-NO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49088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WELL</a:t>
            </a:r>
            <a:r>
              <a:rPr lang="nb-NO" baseline="0"/>
              <a:t> B-37</a:t>
            </a:r>
            <a:endParaRPr lang="nb-N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6885826771654"/>
          <c:y val="0.181188118811881"/>
          <c:w val="0.712594291338583"/>
          <c:h val="0.513520698526546"/>
        </c:manualLayout>
      </c:layout>
      <c:lineChart>
        <c:grouping val="standard"/>
        <c:varyColors val="0"/>
        <c:ser>
          <c:idx val="0"/>
          <c:order val="0"/>
          <c:tx>
            <c:v>Base case</c:v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WWPT!$L$25:$L$40</c:f>
              <c:numCache>
                <c:formatCode>General</c:formatCode>
                <c:ptCount val="16"/>
                <c:pt idx="0">
                  <c:v>181788.0</c:v>
                </c:pt>
                <c:pt idx="1">
                  <c:v>183063.0</c:v>
                </c:pt>
                <c:pt idx="2">
                  <c:v>455605.0</c:v>
                </c:pt>
                <c:pt idx="3">
                  <c:v>650154.0</c:v>
                </c:pt>
                <c:pt idx="4">
                  <c:v>928105.0</c:v>
                </c:pt>
                <c:pt idx="5">
                  <c:v>1.407832E6</c:v>
                </c:pt>
                <c:pt idx="6">
                  <c:v>1.89351E6</c:v>
                </c:pt>
                <c:pt idx="7">
                  <c:v>2.383708E6</c:v>
                </c:pt>
                <c:pt idx="8">
                  <c:v>2.874737E6</c:v>
                </c:pt>
                <c:pt idx="9">
                  <c:v>3.368989E6</c:v>
                </c:pt>
                <c:pt idx="10">
                  <c:v>3.866432E6</c:v>
                </c:pt>
                <c:pt idx="11">
                  <c:v>4.367859E6</c:v>
                </c:pt>
                <c:pt idx="12">
                  <c:v>4.870166E6</c:v>
                </c:pt>
                <c:pt idx="13">
                  <c:v>5.374303E6</c:v>
                </c:pt>
                <c:pt idx="14">
                  <c:v>5.88004E6</c:v>
                </c:pt>
                <c:pt idx="15">
                  <c:v>6.388587E6</c:v>
                </c:pt>
              </c:numCache>
            </c:numRef>
          </c:val>
          <c:smooth val="0"/>
        </c:ser>
        <c:ser>
          <c:idx val="1"/>
          <c:order val="1"/>
          <c:tx>
            <c:v>Closed faults case</c:v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WWPT!$M$25:$M$40</c:f>
              <c:numCache>
                <c:formatCode>General</c:formatCode>
                <c:ptCount val="16"/>
                <c:pt idx="0">
                  <c:v>187263.0</c:v>
                </c:pt>
                <c:pt idx="1">
                  <c:v>188576.0</c:v>
                </c:pt>
                <c:pt idx="2">
                  <c:v>469524.0</c:v>
                </c:pt>
                <c:pt idx="3">
                  <c:v>670240.0</c:v>
                </c:pt>
                <c:pt idx="4">
                  <c:v>956787.0</c:v>
                </c:pt>
                <c:pt idx="5">
                  <c:v>1.450295E6</c:v>
                </c:pt>
                <c:pt idx="6">
                  <c:v>1.948583E6</c:v>
                </c:pt>
                <c:pt idx="7">
                  <c:v>2.452202E6</c:v>
                </c:pt>
                <c:pt idx="8">
                  <c:v>2.958086E6</c:v>
                </c:pt>
                <c:pt idx="9">
                  <c:v>3.46717E6</c:v>
                </c:pt>
                <c:pt idx="10">
                  <c:v>3.979015E6</c:v>
                </c:pt>
                <c:pt idx="11">
                  <c:v>4.494649E6</c:v>
                </c:pt>
                <c:pt idx="12">
                  <c:v>5.010876E6</c:v>
                </c:pt>
                <c:pt idx="13">
                  <c:v>5.528788E6</c:v>
                </c:pt>
                <c:pt idx="14">
                  <c:v>6.048173E6</c:v>
                </c:pt>
                <c:pt idx="15">
                  <c:v>6.570247E6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632088"/>
        <c:axId val="633637512"/>
      </c:lineChart>
      <c:dateAx>
        <c:axId val="633632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Year</a:t>
                </a:r>
              </a:p>
            </c:rich>
          </c:tx>
          <c:layout/>
          <c:overlay val="0"/>
        </c:title>
        <c:numFmt formatCode="d:m:yy;@" sourceLinked="1"/>
        <c:majorTickMark val="out"/>
        <c:minorTickMark val="none"/>
        <c:tickLblPos val="nextTo"/>
        <c:crossAx val="633637512"/>
        <c:crosses val="autoZero"/>
        <c:auto val="1"/>
        <c:lblOffset val="100"/>
        <c:baseTimeUnit val="days"/>
      </c:dateAx>
      <c:valAx>
        <c:axId val="633637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Total</a:t>
                </a:r>
                <a:r>
                  <a:rPr lang="nb-NO" baseline="0"/>
                  <a:t> water production [Sm3]</a:t>
                </a:r>
                <a:endParaRPr lang="nb-NO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3632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9480118110236"/>
          <c:y val="0.382262805020659"/>
          <c:w val="0.250519881889764"/>
          <c:h val="0.198840726592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WELL</a:t>
            </a:r>
            <a:r>
              <a:rPr lang="nb-NO" baseline="0"/>
              <a:t> A-39A</a:t>
            </a:r>
            <a:endParaRPr lang="nb-N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6885826771654"/>
          <c:y val="0.151485148514851"/>
          <c:w val="0.722594291338583"/>
          <c:h val="0.543223668823575"/>
        </c:manualLayout>
      </c:layout>
      <c:lineChart>
        <c:grouping val="standard"/>
        <c:varyColors val="0"/>
        <c:ser>
          <c:idx val="0"/>
          <c:order val="0"/>
          <c:tx>
            <c:v>Base case</c:v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WWPT!$L$5:$L$20</c:f>
              <c:numCache>
                <c:formatCode>General</c:formatCode>
                <c:ptCount val="16"/>
                <c:pt idx="0">
                  <c:v>117619.0</c:v>
                </c:pt>
                <c:pt idx="1">
                  <c:v>118445.0</c:v>
                </c:pt>
                <c:pt idx="2">
                  <c:v>295383.0</c:v>
                </c:pt>
                <c:pt idx="3">
                  <c:v>422051.0</c:v>
                </c:pt>
                <c:pt idx="4">
                  <c:v>603239.0</c:v>
                </c:pt>
                <c:pt idx="5">
                  <c:v>916145.0</c:v>
                </c:pt>
                <c:pt idx="6">
                  <c:v>1.233051E6</c:v>
                </c:pt>
                <c:pt idx="7">
                  <c:v>1.554091E6</c:v>
                </c:pt>
                <c:pt idx="8">
                  <c:v>1.876991E6</c:v>
                </c:pt>
                <c:pt idx="9">
                  <c:v>2.202191E6</c:v>
                </c:pt>
                <c:pt idx="10">
                  <c:v>2.529391E6</c:v>
                </c:pt>
                <c:pt idx="11">
                  <c:v>2.859251E6</c:v>
                </c:pt>
                <c:pt idx="12">
                  <c:v>3.189901E6</c:v>
                </c:pt>
                <c:pt idx="13">
                  <c:v>3.522311E6</c:v>
                </c:pt>
                <c:pt idx="14">
                  <c:v>3.856431E6</c:v>
                </c:pt>
                <c:pt idx="15">
                  <c:v>4.193001E6</c:v>
                </c:pt>
              </c:numCache>
            </c:numRef>
          </c:val>
          <c:smooth val="0"/>
        </c:ser>
        <c:ser>
          <c:idx val="1"/>
          <c:order val="1"/>
          <c:tx>
            <c:v>Closed faults case</c:v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WWPT!$M$5:$M$20</c:f>
              <c:numCache>
                <c:formatCode>General</c:formatCode>
                <c:ptCount val="16"/>
                <c:pt idx="0">
                  <c:v>122034.0</c:v>
                </c:pt>
                <c:pt idx="1">
                  <c:v>122890.0</c:v>
                </c:pt>
                <c:pt idx="2">
                  <c:v>306261.0</c:v>
                </c:pt>
                <c:pt idx="3">
                  <c:v>437254.0</c:v>
                </c:pt>
                <c:pt idx="4">
                  <c:v>624068.0</c:v>
                </c:pt>
                <c:pt idx="5">
                  <c:v>945266.0</c:v>
                </c:pt>
                <c:pt idx="6">
                  <c:v>1.269078E6</c:v>
                </c:pt>
                <c:pt idx="7">
                  <c:v>1.595968E6</c:v>
                </c:pt>
                <c:pt idx="8">
                  <c:v>1.923848E6</c:v>
                </c:pt>
                <c:pt idx="9">
                  <c:v>2.253428E6</c:v>
                </c:pt>
                <c:pt idx="10">
                  <c:v>2.584628E6</c:v>
                </c:pt>
                <c:pt idx="11">
                  <c:v>2.918228E6</c:v>
                </c:pt>
                <c:pt idx="12">
                  <c:v>3.252218E6</c:v>
                </c:pt>
                <c:pt idx="13">
                  <c:v>3.587378E6</c:v>
                </c:pt>
                <c:pt idx="14">
                  <c:v>3.923588E6</c:v>
                </c:pt>
                <c:pt idx="15">
                  <c:v>4.261708E6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527272"/>
        <c:axId val="679532664"/>
      </c:lineChart>
      <c:dateAx>
        <c:axId val="67952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Year</a:t>
                </a:r>
              </a:p>
            </c:rich>
          </c:tx>
          <c:layout/>
          <c:overlay val="0"/>
        </c:title>
        <c:numFmt formatCode="d:m:yy;@" sourceLinked="1"/>
        <c:majorTickMark val="out"/>
        <c:minorTickMark val="none"/>
        <c:tickLblPos val="nextTo"/>
        <c:crossAx val="679532664"/>
        <c:crosses val="autoZero"/>
        <c:auto val="1"/>
        <c:lblOffset val="100"/>
        <c:baseTimeUnit val="days"/>
      </c:dateAx>
      <c:valAx>
        <c:axId val="679532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Total</a:t>
                </a:r>
                <a:r>
                  <a:rPr lang="nb-NO" baseline="0"/>
                  <a:t> water production [Sm3]</a:t>
                </a:r>
                <a:endParaRPr lang="nb-NO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79527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9480118110236"/>
          <c:y val="0.426817260466204"/>
          <c:w val="0.250519881889764"/>
          <c:h val="0.198840726592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Discounted cash flow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57382839202977"/>
          <c:y val="0.0495238095238095"/>
          <c:w val="0.797891105653594"/>
          <c:h val="0.843809523809524"/>
        </c:manualLayout>
      </c:layout>
      <c:scatterChart>
        <c:scatterStyle val="smoothMarker"/>
        <c:varyColors val="0"/>
        <c:ser>
          <c:idx val="0"/>
          <c:order val="0"/>
          <c:tx>
            <c:v>Original project</c:v>
          </c:tx>
          <c:marker>
            <c:symbol val="none"/>
          </c:marker>
          <c:xVal>
            <c:numRef>
              <c:f>'NPV calculation'!$B$9:$O$9</c:f>
              <c:numCache>
                <c:formatCode>General</c:formatCode>
                <c:ptCount val="14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  <c:pt idx="5">
                  <c:v>2016.0</c:v>
                </c:pt>
                <c:pt idx="6">
                  <c:v>2017.0</c:v>
                </c:pt>
                <c:pt idx="7">
                  <c:v>2018.0</c:v>
                </c:pt>
                <c:pt idx="8">
                  <c:v>2019.0</c:v>
                </c:pt>
                <c:pt idx="9">
                  <c:v>2020.0</c:v>
                </c:pt>
                <c:pt idx="10">
                  <c:v>2021.0</c:v>
                </c:pt>
                <c:pt idx="11">
                  <c:v>2022.0</c:v>
                </c:pt>
                <c:pt idx="12">
                  <c:v>2023.0</c:v>
                </c:pt>
                <c:pt idx="13">
                  <c:v>2024.0</c:v>
                </c:pt>
              </c:numCache>
            </c:numRef>
          </c:xVal>
          <c:yVal>
            <c:numRef>
              <c:f>'cash flow'!$A$3:$N$3</c:f>
              <c:numCache>
                <c:formatCode>General</c:formatCode>
                <c:ptCount val="14"/>
                <c:pt idx="0">
                  <c:v>-400.0</c:v>
                </c:pt>
                <c:pt idx="1">
                  <c:v>1004.790410496391</c:v>
                </c:pt>
                <c:pt idx="2">
                  <c:v>695.4808025795402</c:v>
                </c:pt>
                <c:pt idx="3">
                  <c:v>142.0631081904508</c:v>
                </c:pt>
                <c:pt idx="4">
                  <c:v>69.92847856651206</c:v>
                </c:pt>
                <c:pt idx="5">
                  <c:v>38.20583468124332</c:v>
                </c:pt>
                <c:pt idx="6">
                  <c:v>12.77686959947495</c:v>
                </c:pt>
                <c:pt idx="7">
                  <c:v>3.052445069621</c:v>
                </c:pt>
                <c:pt idx="8">
                  <c:v>-4.052807991726566</c:v>
                </c:pt>
                <c:pt idx="9">
                  <c:v>-10.59422670905324</c:v>
                </c:pt>
                <c:pt idx="10">
                  <c:v>-12.3038129465055</c:v>
                </c:pt>
                <c:pt idx="11">
                  <c:v>-11.8980258175817</c:v>
                </c:pt>
                <c:pt idx="12">
                  <c:v>-10.86836810274644</c:v>
                </c:pt>
                <c:pt idx="13">
                  <c:v>-10.16095310793862</c:v>
                </c:pt>
              </c:numCache>
            </c:numRef>
          </c:yVal>
          <c:smooth val="1"/>
        </c:ser>
        <c:ser>
          <c:idx val="1"/>
          <c:order val="1"/>
          <c:tx>
            <c:v>Sensitivity 10% decrease in oil price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'Sensitivity analyzes - 10 %'!$B$9:$O$9</c:f>
              <c:numCache>
                <c:formatCode>General</c:formatCode>
                <c:ptCount val="14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  <c:pt idx="5">
                  <c:v>2016.0</c:v>
                </c:pt>
                <c:pt idx="6">
                  <c:v>2017.0</c:v>
                </c:pt>
                <c:pt idx="7">
                  <c:v>2018.0</c:v>
                </c:pt>
                <c:pt idx="8">
                  <c:v>2019.0</c:v>
                </c:pt>
                <c:pt idx="9">
                  <c:v>2020.0</c:v>
                </c:pt>
                <c:pt idx="10">
                  <c:v>2021.0</c:v>
                </c:pt>
                <c:pt idx="11">
                  <c:v>2022.0</c:v>
                </c:pt>
                <c:pt idx="12">
                  <c:v>2023.0</c:v>
                </c:pt>
                <c:pt idx="13">
                  <c:v>2024.0</c:v>
                </c:pt>
              </c:numCache>
            </c:numRef>
          </c:xVal>
          <c:yVal>
            <c:numRef>
              <c:f>'Sensitivity analyzes - 10 %'!$A$46:$N$46</c:f>
              <c:numCache>
                <c:formatCode>General</c:formatCode>
                <c:ptCount val="14"/>
                <c:pt idx="0">
                  <c:v>-400.0</c:v>
                </c:pt>
                <c:pt idx="1">
                  <c:v>864.993483818632</c:v>
                </c:pt>
                <c:pt idx="2">
                  <c:v>598.718256133691</c:v>
                </c:pt>
                <c:pt idx="3">
                  <c:v>122.297806181345</c:v>
                </c:pt>
                <c:pt idx="4">
                  <c:v>60.1992989398669</c:v>
                </c:pt>
                <c:pt idx="5">
                  <c:v>32.8902402908095</c:v>
                </c:pt>
                <c:pt idx="6">
                  <c:v>10.9992181769393</c:v>
                </c:pt>
                <c:pt idx="7">
                  <c:v>2.6277570599346</c:v>
                </c:pt>
                <c:pt idx="8">
                  <c:v>-3.48893905374722</c:v>
                </c:pt>
                <c:pt idx="9">
                  <c:v>-9.120247340837139</c:v>
                </c:pt>
                <c:pt idx="10">
                  <c:v>-10.5919781017743</c:v>
                </c:pt>
                <c:pt idx="11">
                  <c:v>-10.2426483125269</c:v>
                </c:pt>
                <c:pt idx="12">
                  <c:v>-9.35624732323389</c:v>
                </c:pt>
                <c:pt idx="13">
                  <c:v>-8.747255284225419</c:v>
                </c:pt>
              </c:numCache>
            </c:numRef>
          </c:yVal>
          <c:smooth val="1"/>
        </c:ser>
        <c:ser>
          <c:idx val="2"/>
          <c:order val="2"/>
          <c:tx>
            <c:v>Sensitivity 5 % decrease in production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'NPV calculation'!$B$9:$O$9</c:f>
              <c:numCache>
                <c:formatCode>General</c:formatCode>
                <c:ptCount val="14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  <c:pt idx="5">
                  <c:v>2016.0</c:v>
                </c:pt>
                <c:pt idx="6">
                  <c:v>2017.0</c:v>
                </c:pt>
                <c:pt idx="7">
                  <c:v>2018.0</c:v>
                </c:pt>
                <c:pt idx="8">
                  <c:v>2019.0</c:v>
                </c:pt>
                <c:pt idx="9">
                  <c:v>2020.0</c:v>
                </c:pt>
                <c:pt idx="10">
                  <c:v>2021.0</c:v>
                </c:pt>
                <c:pt idx="11">
                  <c:v>2022.0</c:v>
                </c:pt>
                <c:pt idx="12">
                  <c:v>2023.0</c:v>
                </c:pt>
                <c:pt idx="13">
                  <c:v>2024.0</c:v>
                </c:pt>
              </c:numCache>
            </c:numRef>
          </c:xVal>
          <c:yVal>
            <c:numRef>
              <c:f>'Sensitivity 5 % decrease Prod'!$A$46:$N$46</c:f>
              <c:numCache>
                <c:formatCode>General</c:formatCode>
                <c:ptCount val="14"/>
                <c:pt idx="0">
                  <c:v>-400.0</c:v>
                </c:pt>
                <c:pt idx="1">
                  <c:v>821.7438096277</c:v>
                </c:pt>
                <c:pt idx="2">
                  <c:v>568.782343327007</c:v>
                </c:pt>
                <c:pt idx="3">
                  <c:v>116.182915872277</c:v>
                </c:pt>
                <c:pt idx="4">
                  <c:v>57.1893339928735</c:v>
                </c:pt>
                <c:pt idx="5">
                  <c:v>31.245728276269</c:v>
                </c:pt>
                <c:pt idx="6">
                  <c:v>10.4492572680923</c:v>
                </c:pt>
                <c:pt idx="7">
                  <c:v>2.49636920693787</c:v>
                </c:pt>
                <c:pt idx="8">
                  <c:v>-3.31449210105986</c:v>
                </c:pt>
                <c:pt idx="9">
                  <c:v>-8.66423497379528</c:v>
                </c:pt>
                <c:pt idx="10">
                  <c:v>-10.0623791966856</c:v>
                </c:pt>
                <c:pt idx="11">
                  <c:v>-9.73051589690051</c:v>
                </c:pt>
                <c:pt idx="12">
                  <c:v>-8.8884349570722</c:v>
                </c:pt>
                <c:pt idx="13">
                  <c:v>-8.30989252001415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603944"/>
        <c:axId val="634609432"/>
      </c:scatterChart>
      <c:valAx>
        <c:axId val="634603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4609432"/>
        <c:crosses val="autoZero"/>
        <c:crossBetween val="midCat"/>
      </c:valAx>
      <c:valAx>
        <c:axId val="634609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Cash</a:t>
                </a:r>
                <a:r>
                  <a:rPr lang="nb-NO" baseline="0"/>
                  <a:t> flow MNOK</a:t>
                </a:r>
                <a:endParaRPr lang="nb-NO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4603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2829581993569"/>
          <c:y val="0.176859392575928"/>
          <c:w val="0.311093247588424"/>
          <c:h val="0.229519010123735"/>
        </c:manualLayout>
      </c:layout>
      <c:overlay val="0"/>
    </c:legend>
    <c:plotVisOnly val="1"/>
    <c:dispBlanksAs val="gap"/>
    <c:showDLblsOverMax val="0"/>
  </c:chart>
  <c:printSettings>
    <c:headerFooter/>
    <c:pageMargins b="1.0" l="0.787401575" r="0.787401575" t="1.0" header="0.5" footer="0.5"/>
    <c:pageSetup paperSize="9" orientation="portrait" horizontalDpi="-4" vertic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Cumulative NPV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2260796945836"/>
          <c:y val="0.0378457059679767"/>
          <c:w val="0.839830708661417"/>
          <c:h val="0.880640465793304"/>
        </c:manualLayout>
      </c:layout>
      <c:scatterChart>
        <c:scatterStyle val="smoothMarker"/>
        <c:varyColors val="0"/>
        <c:ser>
          <c:idx val="0"/>
          <c:order val="0"/>
          <c:tx>
            <c:v>Original project</c:v>
          </c:tx>
          <c:marker>
            <c:symbol val="none"/>
          </c:marker>
          <c:xVal>
            <c:numRef>
              <c:f>'NPV calculation'!$B$9:$O$9</c:f>
              <c:numCache>
                <c:formatCode>General</c:formatCode>
                <c:ptCount val="14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  <c:pt idx="5">
                  <c:v>2016.0</c:v>
                </c:pt>
                <c:pt idx="6">
                  <c:v>2017.0</c:v>
                </c:pt>
                <c:pt idx="7">
                  <c:v>2018.0</c:v>
                </c:pt>
                <c:pt idx="8">
                  <c:v>2019.0</c:v>
                </c:pt>
                <c:pt idx="9">
                  <c:v>2020.0</c:v>
                </c:pt>
                <c:pt idx="10">
                  <c:v>2021.0</c:v>
                </c:pt>
                <c:pt idx="11">
                  <c:v>2022.0</c:v>
                </c:pt>
                <c:pt idx="12">
                  <c:v>2023.0</c:v>
                </c:pt>
                <c:pt idx="13">
                  <c:v>2024.0</c:v>
                </c:pt>
              </c:numCache>
            </c:numRef>
          </c:xVal>
          <c:yVal>
            <c:numRef>
              <c:f>'Cumulative NPV'!$B$2:$B$15</c:f>
              <c:numCache>
                <c:formatCode>General</c:formatCode>
                <c:ptCount val="14"/>
                <c:pt idx="0">
                  <c:v>-400.0</c:v>
                </c:pt>
                <c:pt idx="1">
                  <c:v>530.3614912003617</c:v>
                </c:pt>
                <c:pt idx="2">
                  <c:v>1126.624182026442</c:v>
                </c:pt>
                <c:pt idx="3">
                  <c:v>1239.398457567558</c:v>
                </c:pt>
                <c:pt idx="4">
                  <c:v>1290.797976874582</c:v>
                </c:pt>
                <c:pt idx="5">
                  <c:v>1316.800225987285</c:v>
                </c:pt>
                <c:pt idx="6">
                  <c:v>1324.85182113552</c:v>
                </c:pt>
                <c:pt idx="7">
                  <c:v>1326.63289351571</c:v>
                </c:pt>
                <c:pt idx="8">
                  <c:v>1324.443287462919</c:v>
                </c:pt>
                <c:pt idx="9">
                  <c:v>1319.143536494158</c:v>
                </c:pt>
                <c:pt idx="10">
                  <c:v>1313.444490458725</c:v>
                </c:pt>
                <c:pt idx="11">
                  <c:v>1308.341631125607</c:v>
                </c:pt>
                <c:pt idx="12">
                  <c:v>1304.025652617977</c:v>
                </c:pt>
                <c:pt idx="13">
                  <c:v>1300.289491247496</c:v>
                </c:pt>
              </c:numCache>
            </c:numRef>
          </c:yVal>
          <c:smooth val="1"/>
        </c:ser>
        <c:ser>
          <c:idx val="1"/>
          <c:order val="1"/>
          <c:tx>
            <c:v>Sensitivity 10% decrease in oil price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'Sensitivity analyzes - 10 %'!$B$9:$O$9</c:f>
              <c:numCache>
                <c:formatCode>General</c:formatCode>
                <c:ptCount val="14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  <c:pt idx="5">
                  <c:v>2016.0</c:v>
                </c:pt>
                <c:pt idx="6">
                  <c:v>2017.0</c:v>
                </c:pt>
                <c:pt idx="7">
                  <c:v>2018.0</c:v>
                </c:pt>
                <c:pt idx="8">
                  <c:v>2019.0</c:v>
                </c:pt>
                <c:pt idx="9">
                  <c:v>2020.0</c:v>
                </c:pt>
                <c:pt idx="10">
                  <c:v>2021.0</c:v>
                </c:pt>
                <c:pt idx="11">
                  <c:v>2022.0</c:v>
                </c:pt>
                <c:pt idx="12">
                  <c:v>2023.0</c:v>
                </c:pt>
                <c:pt idx="13">
                  <c:v>2024.0</c:v>
                </c:pt>
              </c:numCache>
            </c:numRef>
          </c:xVal>
          <c:yVal>
            <c:numRef>
              <c:f>'Cumulative NPV'!$D$2:$D$15</c:f>
              <c:numCache>
                <c:formatCode>General</c:formatCode>
                <c:ptCount val="14"/>
                <c:pt idx="0">
                  <c:v>-400.0</c:v>
                </c:pt>
                <c:pt idx="1">
                  <c:v>400.91989242</c:v>
                </c:pt>
                <c:pt idx="2">
                  <c:v>914.2242958300001</c:v>
                </c:pt>
                <c:pt idx="3">
                  <c:v>1011.30823738</c:v>
                </c:pt>
                <c:pt idx="4">
                  <c:v>1055.55651922</c:v>
                </c:pt>
                <c:pt idx="5">
                  <c:v>1077.94106411</c:v>
                </c:pt>
                <c:pt idx="6">
                  <c:v>1084.87243733</c:v>
                </c:pt>
                <c:pt idx="7">
                  <c:v>1086.40570833</c:v>
                </c:pt>
                <c:pt idx="8">
                  <c:v>1084.52074312</c:v>
                </c:pt>
                <c:pt idx="9">
                  <c:v>1079.95834881</c:v>
                </c:pt>
                <c:pt idx="10">
                  <c:v>1075.05221353</c:v>
                </c:pt>
                <c:pt idx="11">
                  <c:v>1070.65931723</c:v>
                </c:pt>
                <c:pt idx="12">
                  <c:v>1066.94382269</c:v>
                </c:pt>
                <c:pt idx="13">
                  <c:v>1063.72747507</c:v>
                </c:pt>
              </c:numCache>
            </c:numRef>
          </c:yVal>
          <c:smooth val="1"/>
        </c:ser>
        <c:ser>
          <c:idx val="2"/>
          <c:order val="2"/>
          <c:tx>
            <c:v>Sensitivity 5 % decrease in production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'Sensitivity analyzes - 10 %'!$B$9:$O$9</c:f>
              <c:numCache>
                <c:formatCode>General</c:formatCode>
                <c:ptCount val="14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  <c:pt idx="5">
                  <c:v>2016.0</c:v>
                </c:pt>
                <c:pt idx="6">
                  <c:v>2017.0</c:v>
                </c:pt>
                <c:pt idx="7">
                  <c:v>2018.0</c:v>
                </c:pt>
                <c:pt idx="8">
                  <c:v>2019.0</c:v>
                </c:pt>
                <c:pt idx="9">
                  <c:v>2020.0</c:v>
                </c:pt>
                <c:pt idx="10">
                  <c:v>2021.0</c:v>
                </c:pt>
                <c:pt idx="11">
                  <c:v>2022.0</c:v>
                </c:pt>
                <c:pt idx="12">
                  <c:v>2023.0</c:v>
                </c:pt>
                <c:pt idx="13">
                  <c:v>2024.0</c:v>
                </c:pt>
              </c:numCache>
            </c:numRef>
          </c:xVal>
          <c:yVal>
            <c:numRef>
              <c:f>'Cumulative NPV'!$F$2:$F$15</c:f>
              <c:numCache>
                <c:formatCode>General</c:formatCode>
                <c:ptCount val="14"/>
                <c:pt idx="0">
                  <c:v>-400.0</c:v>
                </c:pt>
                <c:pt idx="1">
                  <c:v>360.8738978034262</c:v>
                </c:pt>
                <c:pt idx="2">
                  <c:v>848.513081039886</c:v>
                </c:pt>
                <c:pt idx="3">
                  <c:v>940.7428255150337</c:v>
                </c:pt>
                <c:pt idx="4">
                  <c:v>982.7786932613427</c:v>
                </c:pt>
                <c:pt idx="5">
                  <c:v>1004.044010905254</c:v>
                </c:pt>
                <c:pt idx="6">
                  <c:v>1010.628815459093</c:v>
                </c:pt>
                <c:pt idx="7">
                  <c:v>1012.08542291437</c:v>
                </c:pt>
                <c:pt idx="8">
                  <c:v>1010.294705964239</c:v>
                </c:pt>
                <c:pt idx="9">
                  <c:v>1005.960431367614</c:v>
                </c:pt>
                <c:pt idx="10">
                  <c:v>1001.29960284907</c:v>
                </c:pt>
                <c:pt idx="11">
                  <c:v>997.126351368377</c:v>
                </c:pt>
                <c:pt idx="12">
                  <c:v>993.5966315540937</c:v>
                </c:pt>
                <c:pt idx="13">
                  <c:v>990.5411013202354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657304"/>
        <c:axId val="634662792"/>
      </c:scatterChart>
      <c:valAx>
        <c:axId val="634657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4662792"/>
        <c:crosses val="autoZero"/>
        <c:crossBetween val="midCat"/>
      </c:valAx>
      <c:valAx>
        <c:axId val="634662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Cumulative</a:t>
                </a:r>
                <a:r>
                  <a:rPr lang="nb-NO" baseline="0"/>
                  <a:t> NPV MNOK</a:t>
                </a:r>
                <a:endParaRPr lang="nb-NO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4657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7121212121212"/>
          <c:y val="0.302549026349872"/>
          <c:w val="0.293181818181818"/>
          <c:h val="0.175396623457002"/>
        </c:manualLayout>
      </c:layout>
      <c:overlay val="0"/>
    </c:legend>
    <c:plotVisOnly val="1"/>
    <c:dispBlanksAs val="gap"/>
    <c:showDLblsOverMax val="0"/>
  </c:chart>
  <c:printSettings>
    <c:headerFooter/>
    <c:pageMargins b="1.0" l="0.787401575" r="0.787401575" t="1.0" header="0.5" footer="0.5"/>
    <c:pageSetup paperSize="0" orientation="portrait" horizontalDpi="-4" vertic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Discounted cash flow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57382839202977"/>
          <c:y val="0.0495238095238095"/>
          <c:w val="0.797891105653594"/>
          <c:h val="0.843809523809524"/>
        </c:manualLayout>
      </c:layout>
      <c:scatterChart>
        <c:scatterStyle val="smoothMarker"/>
        <c:varyColors val="0"/>
        <c:ser>
          <c:idx val="0"/>
          <c:order val="0"/>
          <c:tx>
            <c:v>Original project</c:v>
          </c:tx>
          <c:marker>
            <c:symbol val="none"/>
          </c:marker>
          <c:xVal>
            <c:numRef>
              <c:f>'NPV calculation'!$B$9:$O$9</c:f>
              <c:numCache>
                <c:formatCode>General</c:formatCode>
                <c:ptCount val="14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  <c:pt idx="5">
                  <c:v>2016.0</c:v>
                </c:pt>
                <c:pt idx="6">
                  <c:v>2017.0</c:v>
                </c:pt>
                <c:pt idx="7">
                  <c:v>2018.0</c:v>
                </c:pt>
                <c:pt idx="8">
                  <c:v>2019.0</c:v>
                </c:pt>
                <c:pt idx="9">
                  <c:v>2020.0</c:v>
                </c:pt>
                <c:pt idx="10">
                  <c:v>2021.0</c:v>
                </c:pt>
                <c:pt idx="11">
                  <c:v>2022.0</c:v>
                </c:pt>
                <c:pt idx="12">
                  <c:v>2023.0</c:v>
                </c:pt>
                <c:pt idx="13">
                  <c:v>2024.0</c:v>
                </c:pt>
              </c:numCache>
            </c:numRef>
          </c:xVal>
          <c:yVal>
            <c:numRef>
              <c:f>'cash flow'!$A$3:$N$3</c:f>
              <c:numCache>
                <c:formatCode>General</c:formatCode>
                <c:ptCount val="14"/>
                <c:pt idx="0">
                  <c:v>-400.0</c:v>
                </c:pt>
                <c:pt idx="1">
                  <c:v>1004.790410496391</c:v>
                </c:pt>
                <c:pt idx="2">
                  <c:v>695.4808025795402</c:v>
                </c:pt>
                <c:pt idx="3">
                  <c:v>142.0631081904508</c:v>
                </c:pt>
                <c:pt idx="4">
                  <c:v>69.92847856651206</c:v>
                </c:pt>
                <c:pt idx="5">
                  <c:v>38.20583468124332</c:v>
                </c:pt>
                <c:pt idx="6">
                  <c:v>12.77686959947495</c:v>
                </c:pt>
                <c:pt idx="7">
                  <c:v>3.052445069621</c:v>
                </c:pt>
                <c:pt idx="8">
                  <c:v>-4.052807991726566</c:v>
                </c:pt>
                <c:pt idx="9">
                  <c:v>-10.59422670905324</c:v>
                </c:pt>
                <c:pt idx="10">
                  <c:v>-12.3038129465055</c:v>
                </c:pt>
                <c:pt idx="11">
                  <c:v>-11.8980258175817</c:v>
                </c:pt>
                <c:pt idx="12">
                  <c:v>-10.86836810274644</c:v>
                </c:pt>
                <c:pt idx="13">
                  <c:v>-10.16095310793862</c:v>
                </c:pt>
              </c:numCache>
            </c:numRef>
          </c:yVal>
          <c:smooth val="1"/>
        </c:ser>
        <c:ser>
          <c:idx val="1"/>
          <c:order val="1"/>
          <c:tx>
            <c:v>Sensitivity 10% decrease in oil price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'Sensitivity analyzes - 10 %'!$B$9:$O$9</c:f>
              <c:numCache>
                <c:formatCode>General</c:formatCode>
                <c:ptCount val="14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  <c:pt idx="5">
                  <c:v>2016.0</c:v>
                </c:pt>
                <c:pt idx="6">
                  <c:v>2017.0</c:v>
                </c:pt>
                <c:pt idx="7">
                  <c:v>2018.0</c:v>
                </c:pt>
                <c:pt idx="8">
                  <c:v>2019.0</c:v>
                </c:pt>
                <c:pt idx="9">
                  <c:v>2020.0</c:v>
                </c:pt>
                <c:pt idx="10">
                  <c:v>2021.0</c:v>
                </c:pt>
                <c:pt idx="11">
                  <c:v>2022.0</c:v>
                </c:pt>
                <c:pt idx="12">
                  <c:v>2023.0</c:v>
                </c:pt>
                <c:pt idx="13">
                  <c:v>2024.0</c:v>
                </c:pt>
              </c:numCache>
            </c:numRef>
          </c:xVal>
          <c:yVal>
            <c:numRef>
              <c:f>'Sensitivity analyzes - 10 %'!$A$46:$N$46</c:f>
              <c:numCache>
                <c:formatCode>General</c:formatCode>
                <c:ptCount val="14"/>
                <c:pt idx="0">
                  <c:v>-400.0</c:v>
                </c:pt>
                <c:pt idx="1">
                  <c:v>864.993483818632</c:v>
                </c:pt>
                <c:pt idx="2">
                  <c:v>598.718256133691</c:v>
                </c:pt>
                <c:pt idx="3">
                  <c:v>122.297806181345</c:v>
                </c:pt>
                <c:pt idx="4">
                  <c:v>60.1992989398669</c:v>
                </c:pt>
                <c:pt idx="5">
                  <c:v>32.8902402908095</c:v>
                </c:pt>
                <c:pt idx="6">
                  <c:v>10.9992181769393</c:v>
                </c:pt>
                <c:pt idx="7">
                  <c:v>2.6277570599346</c:v>
                </c:pt>
                <c:pt idx="8">
                  <c:v>-3.48893905374722</c:v>
                </c:pt>
                <c:pt idx="9">
                  <c:v>-9.120247340837139</c:v>
                </c:pt>
                <c:pt idx="10">
                  <c:v>-10.5919781017743</c:v>
                </c:pt>
                <c:pt idx="11">
                  <c:v>-10.2426483125269</c:v>
                </c:pt>
                <c:pt idx="12">
                  <c:v>-9.35624732323389</c:v>
                </c:pt>
                <c:pt idx="13">
                  <c:v>-8.747255284225419</c:v>
                </c:pt>
              </c:numCache>
            </c:numRef>
          </c:yVal>
          <c:smooth val="1"/>
        </c:ser>
        <c:ser>
          <c:idx val="2"/>
          <c:order val="2"/>
          <c:tx>
            <c:v>Sensitivity 5 % decrease in production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'NPV calculation'!$B$9:$O$9</c:f>
              <c:numCache>
                <c:formatCode>General</c:formatCode>
                <c:ptCount val="14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  <c:pt idx="5">
                  <c:v>2016.0</c:v>
                </c:pt>
                <c:pt idx="6">
                  <c:v>2017.0</c:v>
                </c:pt>
                <c:pt idx="7">
                  <c:v>2018.0</c:v>
                </c:pt>
                <c:pt idx="8">
                  <c:v>2019.0</c:v>
                </c:pt>
                <c:pt idx="9">
                  <c:v>2020.0</c:v>
                </c:pt>
                <c:pt idx="10">
                  <c:v>2021.0</c:v>
                </c:pt>
                <c:pt idx="11">
                  <c:v>2022.0</c:v>
                </c:pt>
                <c:pt idx="12">
                  <c:v>2023.0</c:v>
                </c:pt>
                <c:pt idx="13">
                  <c:v>2024.0</c:v>
                </c:pt>
              </c:numCache>
            </c:numRef>
          </c:xVal>
          <c:yVal>
            <c:numRef>
              <c:f>'Sensitivity 5 % decrease Prod'!$A$46:$N$46</c:f>
              <c:numCache>
                <c:formatCode>General</c:formatCode>
                <c:ptCount val="14"/>
                <c:pt idx="0">
                  <c:v>-400.0</c:v>
                </c:pt>
                <c:pt idx="1">
                  <c:v>821.7438096277</c:v>
                </c:pt>
                <c:pt idx="2">
                  <c:v>568.782343327007</c:v>
                </c:pt>
                <c:pt idx="3">
                  <c:v>116.182915872277</c:v>
                </c:pt>
                <c:pt idx="4">
                  <c:v>57.1893339928735</c:v>
                </c:pt>
                <c:pt idx="5">
                  <c:v>31.245728276269</c:v>
                </c:pt>
                <c:pt idx="6">
                  <c:v>10.4492572680923</c:v>
                </c:pt>
                <c:pt idx="7">
                  <c:v>2.49636920693787</c:v>
                </c:pt>
                <c:pt idx="8">
                  <c:v>-3.31449210105986</c:v>
                </c:pt>
                <c:pt idx="9">
                  <c:v>-8.66423497379528</c:v>
                </c:pt>
                <c:pt idx="10">
                  <c:v>-10.0623791966856</c:v>
                </c:pt>
                <c:pt idx="11">
                  <c:v>-9.73051589690051</c:v>
                </c:pt>
                <c:pt idx="12">
                  <c:v>-8.8884349570722</c:v>
                </c:pt>
                <c:pt idx="13">
                  <c:v>-8.30989252001415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635128"/>
        <c:axId val="533901816"/>
      </c:scatterChart>
      <c:valAx>
        <c:axId val="44963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3901816"/>
        <c:crosses val="autoZero"/>
        <c:crossBetween val="midCat"/>
      </c:valAx>
      <c:valAx>
        <c:axId val="533901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Cash</a:t>
                </a:r>
                <a:r>
                  <a:rPr lang="nb-NO" baseline="0"/>
                  <a:t> flow MNOK</a:t>
                </a:r>
                <a:endParaRPr lang="nb-NO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49635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2829581993569"/>
          <c:y val="0.176859392575928"/>
          <c:w val="0.311093247588424"/>
          <c:h val="0.229519010123735"/>
        </c:manualLayout>
      </c:layout>
      <c:overlay val="0"/>
    </c:legend>
    <c:plotVisOnly val="1"/>
    <c:dispBlanksAs val="gap"/>
    <c:showDLblsOverMax val="0"/>
  </c:chart>
  <c:printSettings>
    <c:headerFooter/>
    <c:pageMargins b="1.0" l="0.787401575" r="0.787401575" t="1.0" header="0.5" footer="0.5"/>
    <c:pageSetup paperSize="9"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WELL</a:t>
            </a:r>
            <a:r>
              <a:rPr lang="nb-NO" baseline="0"/>
              <a:t> B-37</a:t>
            </a:r>
            <a:endParaRPr lang="nb-N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4145743574506"/>
          <c:y val="0.131683168316832"/>
          <c:w val="0.565007242608825"/>
          <c:h val="0.563025649021595"/>
        </c:manualLayout>
      </c:layout>
      <c:lineChart>
        <c:grouping val="standard"/>
        <c:varyColors val="0"/>
        <c:ser>
          <c:idx val="0"/>
          <c:order val="0"/>
          <c:tx>
            <c:v>Base case</c:v>
          </c:tx>
          <c:marker>
            <c:symbol val="none"/>
          </c:marker>
          <c:cat>
            <c:numRef>
              <c:f>'Wopt new graphs'!$I$26:$I$41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'Wopt new graphs'!$J$26:$J$41</c:f>
              <c:numCache>
                <c:formatCode>0.00</c:formatCode>
                <c:ptCount val="16"/>
                <c:pt idx="0">
                  <c:v>32711.0</c:v>
                </c:pt>
                <c:pt idx="1">
                  <c:v>32936.0</c:v>
                </c:pt>
                <c:pt idx="2">
                  <c:v>79894.0</c:v>
                </c:pt>
                <c:pt idx="3">
                  <c:v>111846.0</c:v>
                </c:pt>
                <c:pt idx="4">
                  <c:v>154895.0</c:v>
                </c:pt>
                <c:pt idx="5">
                  <c:v>222668.0</c:v>
                </c:pt>
                <c:pt idx="6">
                  <c:v>284489.0</c:v>
                </c:pt>
                <c:pt idx="7">
                  <c:v>343291.0</c:v>
                </c:pt>
                <c:pt idx="8">
                  <c:v>399763.0</c:v>
                </c:pt>
                <c:pt idx="9">
                  <c:v>453011.0</c:v>
                </c:pt>
                <c:pt idx="10">
                  <c:v>503068.0</c:v>
                </c:pt>
                <c:pt idx="11">
                  <c:v>550641.0</c:v>
                </c:pt>
                <c:pt idx="12">
                  <c:v>595834.0</c:v>
                </c:pt>
                <c:pt idx="13">
                  <c:v>639197.0</c:v>
                </c:pt>
                <c:pt idx="14">
                  <c:v>680960.0</c:v>
                </c:pt>
                <c:pt idx="15">
                  <c:v>721413.0</c:v>
                </c:pt>
              </c:numCache>
            </c:numRef>
          </c:val>
          <c:smooth val="0"/>
        </c:ser>
        <c:ser>
          <c:idx val="1"/>
          <c:order val="1"/>
          <c:tx>
            <c:v>Closed faults case</c:v>
          </c:tx>
          <c:marker>
            <c:symbol val="none"/>
          </c:marker>
          <c:cat>
            <c:numRef>
              <c:f>'Wopt new graphs'!$I$26:$I$41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'Wopt new graphs'!$K$26:$K$41</c:f>
              <c:numCache>
                <c:formatCode>0.00</c:formatCode>
                <c:ptCount val="16"/>
                <c:pt idx="0">
                  <c:v>27237.19999999995</c:v>
                </c:pt>
                <c:pt idx="1">
                  <c:v>27424.29999999993</c:v>
                </c:pt>
                <c:pt idx="2">
                  <c:v>65976.29999999993</c:v>
                </c:pt>
                <c:pt idx="3">
                  <c:v>91760.5</c:v>
                </c:pt>
                <c:pt idx="4">
                  <c:v>126213.2</c:v>
                </c:pt>
                <c:pt idx="5">
                  <c:v>180205.6</c:v>
                </c:pt>
                <c:pt idx="6">
                  <c:v>229417.6</c:v>
                </c:pt>
                <c:pt idx="7">
                  <c:v>274798.6</c:v>
                </c:pt>
                <c:pt idx="8">
                  <c:v>316415.6</c:v>
                </c:pt>
                <c:pt idx="9">
                  <c:v>354831.6</c:v>
                </c:pt>
                <c:pt idx="10">
                  <c:v>390485.6</c:v>
                </c:pt>
                <c:pt idx="11">
                  <c:v>423851.6</c:v>
                </c:pt>
                <c:pt idx="12">
                  <c:v>455124.6</c:v>
                </c:pt>
                <c:pt idx="13">
                  <c:v>484712.6</c:v>
                </c:pt>
                <c:pt idx="14">
                  <c:v>512827.6</c:v>
                </c:pt>
                <c:pt idx="15">
                  <c:v>539753.6</c:v>
                </c:pt>
              </c:numCache>
            </c:numRef>
          </c:val>
          <c:smooth val="0"/>
        </c:ser>
        <c:ser>
          <c:idx val="2"/>
          <c:order val="2"/>
          <c:tx>
            <c:v>New wells case</c:v>
          </c:tx>
          <c:marker>
            <c:symbol val="none"/>
          </c:marker>
          <c:cat>
            <c:numRef>
              <c:f>'Wopt new graphs'!$I$26:$I$41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'Wopt new graphs'!$L$26:$L$41</c:f>
              <c:numCache>
                <c:formatCode>0.00</c:formatCode>
                <c:ptCount val="16"/>
                <c:pt idx="0">
                  <c:v>27005.70000000007</c:v>
                </c:pt>
                <c:pt idx="1">
                  <c:v>27184.70000000007</c:v>
                </c:pt>
                <c:pt idx="2">
                  <c:v>59156.30000000005</c:v>
                </c:pt>
                <c:pt idx="3">
                  <c:v>76068.5</c:v>
                </c:pt>
                <c:pt idx="4">
                  <c:v>95882.20000000007</c:v>
                </c:pt>
                <c:pt idx="5">
                  <c:v>126247.6</c:v>
                </c:pt>
                <c:pt idx="6">
                  <c:v>155095.9</c:v>
                </c:pt>
                <c:pt idx="7">
                  <c:v>182624.9</c:v>
                </c:pt>
                <c:pt idx="8">
                  <c:v>208922.9</c:v>
                </c:pt>
                <c:pt idx="9">
                  <c:v>234305.9</c:v>
                </c:pt>
                <c:pt idx="10">
                  <c:v>259147.9</c:v>
                </c:pt>
                <c:pt idx="11">
                  <c:v>283706.9</c:v>
                </c:pt>
                <c:pt idx="12">
                  <c:v>307818.9</c:v>
                </c:pt>
                <c:pt idx="13">
                  <c:v>331952.9</c:v>
                </c:pt>
                <c:pt idx="14">
                  <c:v>356168.9</c:v>
                </c:pt>
                <c:pt idx="15">
                  <c:v>380437.9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209304"/>
        <c:axId val="648214696"/>
      </c:lineChart>
      <c:dateAx>
        <c:axId val="648209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Year</a:t>
                </a:r>
              </a:p>
            </c:rich>
          </c:tx>
          <c:layout/>
          <c:overlay val="0"/>
        </c:title>
        <c:numFmt formatCode="d:m:yy;@" sourceLinked="1"/>
        <c:majorTickMark val="out"/>
        <c:minorTickMark val="none"/>
        <c:tickLblPos val="nextTo"/>
        <c:crossAx val="648214696"/>
        <c:crosses val="autoZero"/>
        <c:auto val="1"/>
        <c:lblOffset val="100"/>
        <c:baseTimeUnit val="days"/>
      </c:dateAx>
      <c:valAx>
        <c:axId val="648214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Total</a:t>
                </a:r>
                <a:r>
                  <a:rPr lang="nb-NO" baseline="0"/>
                  <a:t> Oil production [Sm3]</a:t>
                </a:r>
                <a:endParaRPr lang="nb-NO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48209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2739280559768"/>
          <c:y val="0.162037037037037"/>
          <c:w val="0.469093175853018"/>
          <c:h val="0.810185185185185"/>
        </c:manualLayout>
      </c:layout>
      <c:bar3DChart>
        <c:barDir val="col"/>
        <c:grouping val="clustered"/>
        <c:varyColors val="0"/>
        <c:ser>
          <c:idx val="0"/>
          <c:order val="0"/>
          <c:tx>
            <c:v>Totalt production</c:v>
          </c:tx>
          <c:invertIfNegative val="0"/>
          <c:cat>
            <c:strRef>
              <c:f>'Wopt new graphs'!$I$68:$I$70</c:f>
              <c:strCache>
                <c:ptCount val="3"/>
                <c:pt idx="0">
                  <c:v>BC</c:v>
                </c:pt>
                <c:pt idx="1">
                  <c:v>MLT</c:v>
                </c:pt>
                <c:pt idx="2">
                  <c:v>New Well</c:v>
                </c:pt>
              </c:strCache>
            </c:strRef>
          </c:cat>
          <c:val>
            <c:numRef>
              <c:f>'Wopt new graphs'!$J$68:$J$70</c:f>
              <c:numCache>
                <c:formatCode>0.00</c:formatCode>
                <c:ptCount val="3"/>
                <c:pt idx="0">
                  <c:v>1.268413E6</c:v>
                </c:pt>
                <c:pt idx="1">
                  <c:v>1.0180496E6</c:v>
                </c:pt>
                <c:pt idx="2">
                  <c:v>1.7156327E6</c:v>
                </c:pt>
              </c:numCache>
            </c:numRef>
          </c:val>
        </c:ser>
        <c:ser>
          <c:idx val="1"/>
          <c:order val="1"/>
          <c:tx>
            <c:v>Total production vs Base case</c:v>
          </c:tx>
          <c:invertIfNegative val="0"/>
          <c:cat>
            <c:strRef>
              <c:f>'Wopt new graphs'!$I$68:$I$70</c:f>
              <c:strCache>
                <c:ptCount val="3"/>
                <c:pt idx="0">
                  <c:v>BC</c:v>
                </c:pt>
                <c:pt idx="1">
                  <c:v>MLT</c:v>
                </c:pt>
                <c:pt idx="2">
                  <c:v>New Well</c:v>
                </c:pt>
              </c:strCache>
            </c:strRef>
          </c:cat>
          <c:val>
            <c:numRef>
              <c:f>'Wopt new graphs'!$K$68:$K$70</c:f>
              <c:numCache>
                <c:formatCode>0.00</c:formatCode>
                <c:ptCount val="3"/>
                <c:pt idx="0">
                  <c:v>0.0</c:v>
                </c:pt>
                <c:pt idx="1">
                  <c:v>-250363.4</c:v>
                </c:pt>
                <c:pt idx="2">
                  <c:v>447219.7000000002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48244792"/>
        <c:axId val="648250216"/>
        <c:axId val="0"/>
      </c:bar3DChart>
      <c:catAx>
        <c:axId val="648244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SIMULATION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48250216"/>
        <c:crosses val="autoZero"/>
        <c:auto val="1"/>
        <c:lblAlgn val="ctr"/>
        <c:lblOffset val="100"/>
        <c:noMultiLvlLbl val="0"/>
      </c:catAx>
      <c:valAx>
        <c:axId val="648250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TOTAL</a:t>
                </a:r>
                <a:r>
                  <a:rPr lang="nb-NO" baseline="0"/>
                  <a:t> OIL PRODUCTION SM3</a:t>
                </a:r>
                <a:endParaRPr lang="nb-NO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48244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276902887139"/>
          <c:y val="0.147380431612715"/>
          <c:w val="0.221500874890639"/>
          <c:h val="0.598757655293088"/>
        </c:manualLayout>
      </c:layout>
      <c:overlay val="0"/>
    </c:legend>
    <c:plotVisOnly val="1"/>
    <c:dispBlanksAs val="gap"/>
    <c:showDLblsOverMax val="0"/>
  </c:chart>
  <c:printSettings>
    <c:headerFooter/>
    <c:pageMargins b="1.0" l="0.787401575" r="0.787401575" t="1.0" header="0.5" footer="0.5"/>
    <c:pageSetup paperSize="9" orientation="portrait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Well</a:t>
            </a:r>
            <a:r>
              <a:rPr lang="nb-NO" baseline="0"/>
              <a:t> A-39A</a:t>
            </a:r>
            <a:endParaRPr lang="nb-N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6399126579766"/>
          <c:y val="0.190695211677217"/>
          <c:w val="0.816697545159796"/>
          <c:h val="0.546918095102618"/>
        </c:manualLayout>
      </c:layout>
      <c:lineChart>
        <c:grouping val="standard"/>
        <c:varyColors val="0"/>
        <c:ser>
          <c:idx val="0"/>
          <c:order val="0"/>
          <c:tx>
            <c:v>Base case</c:v>
          </c:tx>
          <c:marker>
            <c:symbol val="none"/>
          </c:marker>
          <c:cat>
            <c:numRef>
              <c:f>[2]WOPT!$I$4:$I$19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[2]WOPT!$J$4:$J$19</c:f>
              <c:numCache>
                <c:formatCode>General</c:formatCode>
                <c:ptCount val="16"/>
                <c:pt idx="0">
                  <c:v>25381.0</c:v>
                </c:pt>
                <c:pt idx="1">
                  <c:v>25555.0</c:v>
                </c:pt>
                <c:pt idx="2">
                  <c:v>61617.0</c:v>
                </c:pt>
                <c:pt idx="3">
                  <c:v>85949.0</c:v>
                </c:pt>
                <c:pt idx="4">
                  <c:v>118761.0</c:v>
                </c:pt>
                <c:pt idx="5">
                  <c:v>170855.0</c:v>
                </c:pt>
                <c:pt idx="6">
                  <c:v>218945.0</c:v>
                </c:pt>
                <c:pt idx="7">
                  <c:v>263909.0</c:v>
                </c:pt>
                <c:pt idx="8">
                  <c:v>306014.0</c:v>
                </c:pt>
                <c:pt idx="9">
                  <c:v>345810.0</c:v>
                </c:pt>
                <c:pt idx="10">
                  <c:v>383612.0</c:v>
                </c:pt>
                <c:pt idx="11">
                  <c:v>419754.0</c:v>
                </c:pt>
                <c:pt idx="12">
                  <c:v>454098.0</c:v>
                </c:pt>
                <c:pt idx="13">
                  <c:v>486687.0</c:v>
                </c:pt>
                <c:pt idx="14">
                  <c:v>517566.0</c:v>
                </c:pt>
                <c:pt idx="15">
                  <c:v>547000.0</c:v>
                </c:pt>
              </c:numCache>
            </c:numRef>
          </c:val>
          <c:smooth val="0"/>
        </c:ser>
        <c:ser>
          <c:idx val="1"/>
          <c:order val="1"/>
          <c:tx>
            <c:v>Closed faults case</c:v>
          </c:tx>
          <c:marker>
            <c:symbol val="none"/>
          </c:marker>
          <c:cat>
            <c:numRef>
              <c:f>[2]WOPT!$I$4:$I$19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[2]WOPT!$K$4:$K$19</c:f>
              <c:numCache>
                <c:formatCode>General</c:formatCode>
                <c:ptCount val="16"/>
                <c:pt idx="0">
                  <c:v>20966.0</c:v>
                </c:pt>
                <c:pt idx="1">
                  <c:v>21110.0</c:v>
                </c:pt>
                <c:pt idx="2">
                  <c:v>50739.0</c:v>
                </c:pt>
                <c:pt idx="3">
                  <c:v>70747.0</c:v>
                </c:pt>
                <c:pt idx="4">
                  <c:v>97932.0</c:v>
                </c:pt>
                <c:pt idx="5">
                  <c:v>141735.0</c:v>
                </c:pt>
                <c:pt idx="6">
                  <c:v>182927.0</c:v>
                </c:pt>
                <c:pt idx="7">
                  <c:v>222034.0</c:v>
                </c:pt>
                <c:pt idx="8">
                  <c:v>259149.0</c:v>
                </c:pt>
                <c:pt idx="9">
                  <c:v>294571.0</c:v>
                </c:pt>
                <c:pt idx="10">
                  <c:v>328376.0</c:v>
                </c:pt>
                <c:pt idx="11">
                  <c:v>360772.0</c:v>
                </c:pt>
                <c:pt idx="12">
                  <c:v>391781.0</c:v>
                </c:pt>
                <c:pt idx="13">
                  <c:v>421622.0</c:v>
                </c:pt>
                <c:pt idx="14">
                  <c:v>450410.0</c:v>
                </c:pt>
                <c:pt idx="15">
                  <c:v>478296.0</c:v>
                </c:pt>
              </c:numCache>
            </c:numRef>
          </c:val>
          <c:smooth val="0"/>
        </c:ser>
        <c:ser>
          <c:idx val="2"/>
          <c:order val="2"/>
          <c:tx>
            <c:v>New wells case</c:v>
          </c:tx>
          <c:marker>
            <c:symbol val="none"/>
          </c:marker>
          <c:cat>
            <c:numRef>
              <c:f>[2]WOPT!$I$4:$I$19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[2]WOPT!$L$4:$L$19</c:f>
              <c:numCache>
                <c:formatCode>General</c:formatCode>
                <c:ptCount val="16"/>
                <c:pt idx="0">
                  <c:v>20977.0</c:v>
                </c:pt>
                <c:pt idx="1">
                  <c:v>21121.0</c:v>
                </c:pt>
                <c:pt idx="2">
                  <c:v>51236.0</c:v>
                </c:pt>
                <c:pt idx="3">
                  <c:v>71942.0</c:v>
                </c:pt>
                <c:pt idx="4">
                  <c:v>100319.0</c:v>
                </c:pt>
                <c:pt idx="5">
                  <c:v>146500.0</c:v>
                </c:pt>
                <c:pt idx="6">
                  <c:v>190374.0</c:v>
                </c:pt>
                <c:pt idx="7">
                  <c:v>232480.0</c:v>
                </c:pt>
                <c:pt idx="8">
                  <c:v>272726.0</c:v>
                </c:pt>
                <c:pt idx="9">
                  <c:v>311262.0</c:v>
                </c:pt>
                <c:pt idx="10">
                  <c:v>348054.0</c:v>
                </c:pt>
                <c:pt idx="11">
                  <c:v>383208.0</c:v>
                </c:pt>
                <c:pt idx="12">
                  <c:v>416622.0</c:v>
                </c:pt>
                <c:pt idx="13">
                  <c:v>448409.0</c:v>
                </c:pt>
                <c:pt idx="14">
                  <c:v>478704.0</c:v>
                </c:pt>
                <c:pt idx="15">
                  <c:v>507754.0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301080"/>
        <c:axId val="690277240"/>
      </c:lineChart>
      <c:dateAx>
        <c:axId val="67930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Year</a:t>
                </a:r>
              </a:p>
            </c:rich>
          </c:tx>
          <c:layout/>
          <c:overlay val="0"/>
        </c:title>
        <c:numFmt formatCode="d:m:yy;@" sourceLinked="1"/>
        <c:majorTickMark val="out"/>
        <c:minorTickMark val="none"/>
        <c:tickLblPos val="nextTo"/>
        <c:crossAx val="690277240"/>
        <c:crosses val="autoZero"/>
        <c:auto val="1"/>
        <c:lblOffset val="100"/>
        <c:baseTimeUnit val="days"/>
      </c:dateAx>
      <c:valAx>
        <c:axId val="690277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Oil</a:t>
                </a:r>
                <a:r>
                  <a:rPr lang="nb-NO" baseline="0"/>
                  <a:t> production [SM3]</a:t>
                </a:r>
                <a:endParaRPr lang="nb-NO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79301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Well</a:t>
            </a:r>
            <a:r>
              <a:rPr lang="nb-NO" baseline="0"/>
              <a:t> A-39A</a:t>
            </a:r>
            <a:endParaRPr lang="nb-NO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WOPT!$J$2</c:f>
              <c:strCache>
                <c:ptCount val="1"/>
                <c:pt idx="0">
                  <c:v>BC</c:v>
                </c:pt>
              </c:strCache>
            </c:strRef>
          </c:tx>
          <c:marker>
            <c:symbol val="none"/>
          </c:marker>
          <c:cat>
            <c:numRef>
              <c:f>WOPT!$I$4:$I$19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WOPT!$J$4:$J$19</c:f>
              <c:numCache>
                <c:formatCode>General</c:formatCode>
                <c:ptCount val="16"/>
                <c:pt idx="0">
                  <c:v>25381.0</c:v>
                </c:pt>
                <c:pt idx="1">
                  <c:v>25555.0</c:v>
                </c:pt>
                <c:pt idx="2">
                  <c:v>61617.0</c:v>
                </c:pt>
                <c:pt idx="3">
                  <c:v>85949.0</c:v>
                </c:pt>
                <c:pt idx="4">
                  <c:v>118761.0</c:v>
                </c:pt>
                <c:pt idx="5">
                  <c:v>170855.0</c:v>
                </c:pt>
                <c:pt idx="6">
                  <c:v>218945.0</c:v>
                </c:pt>
                <c:pt idx="7">
                  <c:v>263909.0</c:v>
                </c:pt>
                <c:pt idx="8">
                  <c:v>306014.0</c:v>
                </c:pt>
                <c:pt idx="9">
                  <c:v>345810.0</c:v>
                </c:pt>
                <c:pt idx="10">
                  <c:v>383612.0</c:v>
                </c:pt>
                <c:pt idx="11">
                  <c:v>419754.0</c:v>
                </c:pt>
                <c:pt idx="12">
                  <c:v>454098.0</c:v>
                </c:pt>
                <c:pt idx="13">
                  <c:v>486687.0</c:v>
                </c:pt>
                <c:pt idx="14">
                  <c:v>517566.0</c:v>
                </c:pt>
                <c:pt idx="15">
                  <c:v>547000.0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WOPT!$K$2</c:f>
              <c:strCache>
                <c:ptCount val="1"/>
                <c:pt idx="0">
                  <c:v>MLT_BC</c:v>
                </c:pt>
              </c:strCache>
            </c:strRef>
          </c:tx>
          <c:marker>
            <c:symbol val="none"/>
          </c:marker>
          <c:cat>
            <c:numRef>
              <c:f>WOPT!$I$4:$I$19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WOPT!$K$4:$K$19</c:f>
              <c:numCache>
                <c:formatCode>General</c:formatCode>
                <c:ptCount val="16"/>
                <c:pt idx="0">
                  <c:v>20966.0</c:v>
                </c:pt>
                <c:pt idx="1">
                  <c:v>21110.0</c:v>
                </c:pt>
                <c:pt idx="2">
                  <c:v>50739.0</c:v>
                </c:pt>
                <c:pt idx="3">
                  <c:v>70747.0</c:v>
                </c:pt>
                <c:pt idx="4">
                  <c:v>97932.0</c:v>
                </c:pt>
                <c:pt idx="5">
                  <c:v>141735.0</c:v>
                </c:pt>
                <c:pt idx="6">
                  <c:v>182927.0</c:v>
                </c:pt>
                <c:pt idx="7">
                  <c:v>222034.0</c:v>
                </c:pt>
                <c:pt idx="8">
                  <c:v>259149.0</c:v>
                </c:pt>
                <c:pt idx="9">
                  <c:v>294571.0</c:v>
                </c:pt>
                <c:pt idx="10">
                  <c:v>328376.0</c:v>
                </c:pt>
                <c:pt idx="11">
                  <c:v>360772.0</c:v>
                </c:pt>
                <c:pt idx="12">
                  <c:v>391781.0</c:v>
                </c:pt>
                <c:pt idx="13">
                  <c:v>421622.0</c:v>
                </c:pt>
                <c:pt idx="14">
                  <c:v>450410.0</c:v>
                </c:pt>
                <c:pt idx="15">
                  <c:v>478296.0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WOPT!$L$2</c:f>
              <c:strCache>
                <c:ptCount val="1"/>
                <c:pt idx="0">
                  <c:v>New Well</c:v>
                </c:pt>
              </c:strCache>
            </c:strRef>
          </c:tx>
          <c:marker>
            <c:symbol val="none"/>
          </c:marker>
          <c:cat>
            <c:numRef>
              <c:f>WOPT!$I$4:$I$19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WOPT!$L$4:$L$19</c:f>
              <c:numCache>
                <c:formatCode>General</c:formatCode>
                <c:ptCount val="16"/>
                <c:pt idx="0">
                  <c:v>20977.0</c:v>
                </c:pt>
                <c:pt idx="1">
                  <c:v>21121.0</c:v>
                </c:pt>
                <c:pt idx="2">
                  <c:v>51236.0</c:v>
                </c:pt>
                <c:pt idx="3">
                  <c:v>71942.0</c:v>
                </c:pt>
                <c:pt idx="4">
                  <c:v>100319.0</c:v>
                </c:pt>
                <c:pt idx="5">
                  <c:v>146500.0</c:v>
                </c:pt>
                <c:pt idx="6">
                  <c:v>190374.0</c:v>
                </c:pt>
                <c:pt idx="7">
                  <c:v>232480.0</c:v>
                </c:pt>
                <c:pt idx="8">
                  <c:v>272726.0</c:v>
                </c:pt>
                <c:pt idx="9">
                  <c:v>311262.0</c:v>
                </c:pt>
                <c:pt idx="10">
                  <c:v>348054.0</c:v>
                </c:pt>
                <c:pt idx="11">
                  <c:v>383208.0</c:v>
                </c:pt>
                <c:pt idx="12">
                  <c:v>416622.0</c:v>
                </c:pt>
                <c:pt idx="13">
                  <c:v>448409.0</c:v>
                </c:pt>
                <c:pt idx="14">
                  <c:v>478704.0</c:v>
                </c:pt>
                <c:pt idx="15">
                  <c:v>507754.0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423320"/>
        <c:axId val="634430120"/>
      </c:lineChart>
      <c:dateAx>
        <c:axId val="634423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Date</a:t>
                </a:r>
              </a:p>
            </c:rich>
          </c:tx>
          <c:layout/>
          <c:overlay val="0"/>
        </c:title>
        <c:numFmt formatCode="d:m:yy;@" sourceLinked="1"/>
        <c:majorTickMark val="out"/>
        <c:minorTickMark val="none"/>
        <c:tickLblPos val="nextTo"/>
        <c:crossAx val="634430120"/>
        <c:crosses val="autoZero"/>
        <c:auto val="1"/>
        <c:lblOffset val="100"/>
        <c:baseTimeUnit val="days"/>
      </c:dateAx>
      <c:valAx>
        <c:axId val="634430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Oil</a:t>
                </a:r>
                <a:r>
                  <a:rPr lang="nb-NO" baseline="0"/>
                  <a:t> production SM3</a:t>
                </a:r>
                <a:endParaRPr lang="nb-NO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4423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WELL</a:t>
            </a:r>
            <a:r>
              <a:rPr lang="nb-NO" baseline="0"/>
              <a:t> B-37</a:t>
            </a:r>
            <a:endParaRPr lang="nb-NO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WOPT!$J$25</c:f>
              <c:strCache>
                <c:ptCount val="1"/>
                <c:pt idx="0">
                  <c:v>BC</c:v>
                </c:pt>
              </c:strCache>
            </c:strRef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WOPT!$J$26:$J$41</c:f>
              <c:numCache>
                <c:formatCode>0.00</c:formatCode>
                <c:ptCount val="16"/>
                <c:pt idx="0">
                  <c:v>32711.0</c:v>
                </c:pt>
                <c:pt idx="1">
                  <c:v>32936.0</c:v>
                </c:pt>
                <c:pt idx="2">
                  <c:v>79894.0</c:v>
                </c:pt>
                <c:pt idx="3">
                  <c:v>111846.0</c:v>
                </c:pt>
                <c:pt idx="4">
                  <c:v>154895.0</c:v>
                </c:pt>
                <c:pt idx="5">
                  <c:v>222668.0</c:v>
                </c:pt>
                <c:pt idx="6">
                  <c:v>284489.0</c:v>
                </c:pt>
                <c:pt idx="7">
                  <c:v>343291.0</c:v>
                </c:pt>
                <c:pt idx="8">
                  <c:v>399763.0</c:v>
                </c:pt>
                <c:pt idx="9">
                  <c:v>453011.0</c:v>
                </c:pt>
                <c:pt idx="10">
                  <c:v>503068.0</c:v>
                </c:pt>
                <c:pt idx="11">
                  <c:v>550641.0</c:v>
                </c:pt>
                <c:pt idx="12">
                  <c:v>595834.0</c:v>
                </c:pt>
                <c:pt idx="13">
                  <c:v>639197.0</c:v>
                </c:pt>
                <c:pt idx="14">
                  <c:v>680960.0</c:v>
                </c:pt>
                <c:pt idx="15">
                  <c:v>721413.0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WOPT!$K$25</c:f>
              <c:strCache>
                <c:ptCount val="1"/>
                <c:pt idx="0">
                  <c:v>MLT_BC</c:v>
                </c:pt>
              </c:strCache>
            </c:strRef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WOPT!$K$26:$K$41</c:f>
              <c:numCache>
                <c:formatCode>0.00</c:formatCode>
                <c:ptCount val="16"/>
                <c:pt idx="0">
                  <c:v>27237.19999999995</c:v>
                </c:pt>
                <c:pt idx="1">
                  <c:v>27424.29999999993</c:v>
                </c:pt>
                <c:pt idx="2">
                  <c:v>65976.29999999993</c:v>
                </c:pt>
                <c:pt idx="3">
                  <c:v>91760.5</c:v>
                </c:pt>
                <c:pt idx="4">
                  <c:v>126213.2</c:v>
                </c:pt>
                <c:pt idx="5">
                  <c:v>180205.6</c:v>
                </c:pt>
                <c:pt idx="6">
                  <c:v>229417.6</c:v>
                </c:pt>
                <c:pt idx="7">
                  <c:v>274798.6</c:v>
                </c:pt>
                <c:pt idx="8">
                  <c:v>316415.6</c:v>
                </c:pt>
                <c:pt idx="9">
                  <c:v>354831.6</c:v>
                </c:pt>
                <c:pt idx="10">
                  <c:v>390485.6</c:v>
                </c:pt>
                <c:pt idx="11">
                  <c:v>423851.6</c:v>
                </c:pt>
                <c:pt idx="12">
                  <c:v>455124.6</c:v>
                </c:pt>
                <c:pt idx="13">
                  <c:v>484712.6</c:v>
                </c:pt>
                <c:pt idx="14">
                  <c:v>512827.6</c:v>
                </c:pt>
                <c:pt idx="15">
                  <c:v>539753.6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WOPT!$L$25</c:f>
              <c:strCache>
                <c:ptCount val="1"/>
                <c:pt idx="0">
                  <c:v>New Well</c:v>
                </c:pt>
              </c:strCache>
            </c:strRef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WOPT!$L$26:$L$41</c:f>
              <c:numCache>
                <c:formatCode>0.00</c:formatCode>
                <c:ptCount val="16"/>
                <c:pt idx="0">
                  <c:v>27005.70000000007</c:v>
                </c:pt>
                <c:pt idx="1">
                  <c:v>27184.70000000007</c:v>
                </c:pt>
                <c:pt idx="2">
                  <c:v>59156.30000000005</c:v>
                </c:pt>
                <c:pt idx="3">
                  <c:v>76068.5</c:v>
                </c:pt>
                <c:pt idx="4">
                  <c:v>95882.20000000007</c:v>
                </c:pt>
                <c:pt idx="5">
                  <c:v>126247.6</c:v>
                </c:pt>
                <c:pt idx="6">
                  <c:v>155095.9</c:v>
                </c:pt>
                <c:pt idx="7">
                  <c:v>182624.9</c:v>
                </c:pt>
                <c:pt idx="8">
                  <c:v>208922.9</c:v>
                </c:pt>
                <c:pt idx="9">
                  <c:v>234305.9</c:v>
                </c:pt>
                <c:pt idx="10">
                  <c:v>259147.9</c:v>
                </c:pt>
                <c:pt idx="11">
                  <c:v>283706.9</c:v>
                </c:pt>
                <c:pt idx="12">
                  <c:v>307818.9</c:v>
                </c:pt>
                <c:pt idx="13">
                  <c:v>331952.9</c:v>
                </c:pt>
                <c:pt idx="14">
                  <c:v>356168.9</c:v>
                </c:pt>
                <c:pt idx="15">
                  <c:v>380437.9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509352"/>
        <c:axId val="634514744"/>
      </c:lineChart>
      <c:dateAx>
        <c:axId val="634509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Date</a:t>
                </a:r>
              </a:p>
            </c:rich>
          </c:tx>
          <c:layout/>
          <c:overlay val="0"/>
        </c:title>
        <c:numFmt formatCode="d:m:yy;@" sourceLinked="1"/>
        <c:majorTickMark val="out"/>
        <c:minorTickMark val="none"/>
        <c:tickLblPos val="nextTo"/>
        <c:crossAx val="634514744"/>
        <c:crosses val="autoZero"/>
        <c:auto val="1"/>
        <c:lblOffset val="100"/>
        <c:baseTimeUnit val="days"/>
      </c:dateAx>
      <c:valAx>
        <c:axId val="634514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Total</a:t>
                </a:r>
                <a:r>
                  <a:rPr lang="nb-NO" baseline="0"/>
                  <a:t> Oil production Sm3</a:t>
                </a:r>
                <a:endParaRPr lang="nb-NO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34509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2739280559768"/>
          <c:y val="0.162037037037037"/>
          <c:w val="0.469093175853018"/>
          <c:h val="0.810185185185185"/>
        </c:manualLayout>
      </c:layout>
      <c:bar3DChart>
        <c:barDir val="col"/>
        <c:grouping val="clustered"/>
        <c:varyColors val="0"/>
        <c:ser>
          <c:idx val="0"/>
          <c:order val="0"/>
          <c:tx>
            <c:v>Totalt production</c:v>
          </c:tx>
          <c:invertIfNegative val="0"/>
          <c:cat>
            <c:strRef>
              <c:f>WOPT!$I$68:$I$70</c:f>
              <c:strCache>
                <c:ptCount val="3"/>
                <c:pt idx="0">
                  <c:v>BC</c:v>
                </c:pt>
                <c:pt idx="1">
                  <c:v>MLT</c:v>
                </c:pt>
                <c:pt idx="2">
                  <c:v>New Well</c:v>
                </c:pt>
              </c:strCache>
            </c:strRef>
          </c:cat>
          <c:val>
            <c:numRef>
              <c:f>WOPT!$J$68:$J$70</c:f>
              <c:numCache>
                <c:formatCode>0.00</c:formatCode>
                <c:ptCount val="3"/>
                <c:pt idx="0">
                  <c:v>1.268413E6</c:v>
                </c:pt>
                <c:pt idx="1">
                  <c:v>1.0180496E6</c:v>
                </c:pt>
                <c:pt idx="2">
                  <c:v>1.7156327E6</c:v>
                </c:pt>
              </c:numCache>
            </c:numRef>
          </c:val>
        </c:ser>
        <c:ser>
          <c:idx val="1"/>
          <c:order val="1"/>
          <c:tx>
            <c:v>Total production vs Base case</c:v>
          </c:tx>
          <c:invertIfNegative val="0"/>
          <c:cat>
            <c:strRef>
              <c:f>WOPT!$I$68:$I$70</c:f>
              <c:strCache>
                <c:ptCount val="3"/>
                <c:pt idx="0">
                  <c:v>BC</c:v>
                </c:pt>
                <c:pt idx="1">
                  <c:v>MLT</c:v>
                </c:pt>
                <c:pt idx="2">
                  <c:v>New Well</c:v>
                </c:pt>
              </c:strCache>
            </c:strRef>
          </c:cat>
          <c:val>
            <c:numRef>
              <c:f>WOPT!$K$68:$K$70</c:f>
              <c:numCache>
                <c:formatCode>0.00</c:formatCode>
                <c:ptCount val="3"/>
                <c:pt idx="0">
                  <c:v>0.0</c:v>
                </c:pt>
                <c:pt idx="1">
                  <c:v>-250363.4</c:v>
                </c:pt>
                <c:pt idx="2">
                  <c:v>447219.7000000002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34550536"/>
        <c:axId val="634556008"/>
        <c:axId val="0"/>
      </c:bar3DChart>
      <c:catAx>
        <c:axId val="634550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SIMULATION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34556008"/>
        <c:crosses val="autoZero"/>
        <c:auto val="1"/>
        <c:lblAlgn val="ctr"/>
        <c:lblOffset val="100"/>
        <c:noMultiLvlLbl val="0"/>
      </c:catAx>
      <c:valAx>
        <c:axId val="634556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TOTAL</a:t>
                </a:r>
                <a:r>
                  <a:rPr lang="nb-NO" baseline="0"/>
                  <a:t> OIL PRODUCTION SM3</a:t>
                </a:r>
                <a:endParaRPr lang="nb-NO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34550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276902887139"/>
          <c:y val="0.147380431612715"/>
          <c:w val="0.221500874890639"/>
          <c:h val="0.598757655293088"/>
        </c:manualLayout>
      </c:layout>
      <c:overlay val="0"/>
    </c:legend>
    <c:plotVisOnly val="1"/>
    <c:dispBlanksAs val="gap"/>
    <c:showDLblsOverMax val="0"/>
  </c:chart>
  <c:printSettings>
    <c:headerFooter/>
    <c:pageMargins b="1.0" l="0.787401575" r="0.787401575" t="1.0" header="0.5" footer="0.5"/>
    <c:pageSetup paperSize="9" orientation="portrait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WELL</a:t>
            </a:r>
            <a:r>
              <a:rPr lang="nb-NO" baseline="0"/>
              <a:t> B-37</a:t>
            </a:r>
            <a:endParaRPr lang="nb-N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6885826771654"/>
          <c:y val="0.225742574257426"/>
          <c:w val="0.700316338582677"/>
          <c:h val="0.468966243081001"/>
        </c:manualLayout>
      </c:layout>
      <c:lineChart>
        <c:grouping val="standard"/>
        <c:varyColors val="0"/>
        <c:ser>
          <c:idx val="0"/>
          <c:order val="0"/>
          <c:tx>
            <c:v>Base case</c:v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WWPT!$L$25:$L$40</c:f>
              <c:numCache>
                <c:formatCode>General</c:formatCode>
                <c:ptCount val="16"/>
                <c:pt idx="0">
                  <c:v>181788.0</c:v>
                </c:pt>
                <c:pt idx="1">
                  <c:v>183063.0</c:v>
                </c:pt>
                <c:pt idx="2">
                  <c:v>455605.0</c:v>
                </c:pt>
                <c:pt idx="3">
                  <c:v>650154.0</c:v>
                </c:pt>
                <c:pt idx="4">
                  <c:v>928105.0</c:v>
                </c:pt>
                <c:pt idx="5">
                  <c:v>1.407832E6</c:v>
                </c:pt>
                <c:pt idx="6">
                  <c:v>1.89351E6</c:v>
                </c:pt>
                <c:pt idx="7">
                  <c:v>2.383708E6</c:v>
                </c:pt>
                <c:pt idx="8">
                  <c:v>2.874737E6</c:v>
                </c:pt>
                <c:pt idx="9">
                  <c:v>3.368989E6</c:v>
                </c:pt>
                <c:pt idx="10">
                  <c:v>3.866432E6</c:v>
                </c:pt>
                <c:pt idx="11">
                  <c:v>4.367859E6</c:v>
                </c:pt>
                <c:pt idx="12">
                  <c:v>4.870166E6</c:v>
                </c:pt>
                <c:pt idx="13">
                  <c:v>5.374303E6</c:v>
                </c:pt>
                <c:pt idx="14">
                  <c:v>5.88004E6</c:v>
                </c:pt>
                <c:pt idx="15">
                  <c:v>6.388587E6</c:v>
                </c:pt>
              </c:numCache>
            </c:numRef>
          </c:val>
          <c:smooth val="0"/>
        </c:ser>
        <c:ser>
          <c:idx val="1"/>
          <c:order val="1"/>
          <c:tx>
            <c:v>Closed faults case</c:v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WWPT!$M$25:$M$40</c:f>
              <c:numCache>
                <c:formatCode>General</c:formatCode>
                <c:ptCount val="16"/>
                <c:pt idx="0">
                  <c:v>187263.0</c:v>
                </c:pt>
                <c:pt idx="1">
                  <c:v>188576.0</c:v>
                </c:pt>
                <c:pt idx="2">
                  <c:v>469524.0</c:v>
                </c:pt>
                <c:pt idx="3">
                  <c:v>670240.0</c:v>
                </c:pt>
                <c:pt idx="4">
                  <c:v>956787.0</c:v>
                </c:pt>
                <c:pt idx="5">
                  <c:v>1.450295E6</c:v>
                </c:pt>
                <c:pt idx="6">
                  <c:v>1.948583E6</c:v>
                </c:pt>
                <c:pt idx="7">
                  <c:v>2.452202E6</c:v>
                </c:pt>
                <c:pt idx="8">
                  <c:v>2.958086E6</c:v>
                </c:pt>
                <c:pt idx="9">
                  <c:v>3.46717E6</c:v>
                </c:pt>
                <c:pt idx="10">
                  <c:v>3.979015E6</c:v>
                </c:pt>
                <c:pt idx="11">
                  <c:v>4.494649E6</c:v>
                </c:pt>
                <c:pt idx="12">
                  <c:v>5.010876E6</c:v>
                </c:pt>
                <c:pt idx="13">
                  <c:v>5.528788E6</c:v>
                </c:pt>
                <c:pt idx="14">
                  <c:v>6.048173E6</c:v>
                </c:pt>
                <c:pt idx="15">
                  <c:v>6.570247E6</c:v>
                </c:pt>
              </c:numCache>
            </c:numRef>
          </c:val>
          <c:smooth val="0"/>
        </c:ser>
        <c:ser>
          <c:idx val="2"/>
          <c:order val="2"/>
          <c:tx>
            <c:v>New wells case</c:v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WWPT!$N$25:$N$40</c:f>
              <c:numCache>
                <c:formatCode>General</c:formatCode>
                <c:ptCount val="16"/>
                <c:pt idx="0">
                  <c:v>187494.0</c:v>
                </c:pt>
                <c:pt idx="1">
                  <c:v>188815.0</c:v>
                </c:pt>
                <c:pt idx="2">
                  <c:v>476343.0</c:v>
                </c:pt>
                <c:pt idx="3">
                  <c:v>685931.0</c:v>
                </c:pt>
                <c:pt idx="4">
                  <c:v>987118.0</c:v>
                </c:pt>
                <c:pt idx="5">
                  <c:v>1.504252E6</c:v>
                </c:pt>
                <c:pt idx="6">
                  <c:v>2.022904E6</c:v>
                </c:pt>
                <c:pt idx="7">
                  <c:v>2.544375E6</c:v>
                </c:pt>
                <c:pt idx="8">
                  <c:v>3.065577E6</c:v>
                </c:pt>
                <c:pt idx="9">
                  <c:v>3.587694E6</c:v>
                </c:pt>
                <c:pt idx="10">
                  <c:v>4.110352E6</c:v>
                </c:pt>
                <c:pt idx="11">
                  <c:v>4.634793E6</c:v>
                </c:pt>
                <c:pt idx="12">
                  <c:v>5.158181E6</c:v>
                </c:pt>
                <c:pt idx="13">
                  <c:v>5.681547E6</c:v>
                </c:pt>
                <c:pt idx="14">
                  <c:v>6.204831E6</c:v>
                </c:pt>
                <c:pt idx="15">
                  <c:v>6.729562E6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549288"/>
        <c:axId val="633554712"/>
      </c:lineChart>
      <c:dateAx>
        <c:axId val="633549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Year</a:t>
                </a:r>
              </a:p>
            </c:rich>
          </c:tx>
          <c:layout/>
          <c:overlay val="0"/>
        </c:title>
        <c:numFmt formatCode="d:m:yy;@" sourceLinked="1"/>
        <c:majorTickMark val="out"/>
        <c:minorTickMark val="none"/>
        <c:tickLblPos val="nextTo"/>
        <c:crossAx val="633554712"/>
        <c:crosses val="autoZero"/>
        <c:auto val="1"/>
        <c:lblOffset val="100"/>
        <c:baseTimeUnit val="days"/>
      </c:dateAx>
      <c:valAx>
        <c:axId val="633554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Total</a:t>
                </a:r>
                <a:r>
                  <a:rPr lang="nb-NO" baseline="0"/>
                  <a:t> water production [Sm3]</a:t>
                </a:r>
                <a:endParaRPr lang="nb-NO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3549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WELL</a:t>
            </a:r>
            <a:r>
              <a:rPr lang="nb-NO" baseline="0"/>
              <a:t> A-39A</a:t>
            </a:r>
            <a:endParaRPr lang="nb-N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6885826771654"/>
          <c:y val="0.225742574257426"/>
          <c:w val="0.670316338582677"/>
          <c:h val="0.468966243081001"/>
        </c:manualLayout>
      </c:layout>
      <c:lineChart>
        <c:grouping val="standard"/>
        <c:varyColors val="0"/>
        <c:ser>
          <c:idx val="0"/>
          <c:order val="0"/>
          <c:tx>
            <c:v>Base case</c:v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WWPT!$L$5:$L$20</c:f>
              <c:numCache>
                <c:formatCode>General</c:formatCode>
                <c:ptCount val="16"/>
                <c:pt idx="0">
                  <c:v>117619.0</c:v>
                </c:pt>
                <c:pt idx="1">
                  <c:v>118445.0</c:v>
                </c:pt>
                <c:pt idx="2">
                  <c:v>295383.0</c:v>
                </c:pt>
                <c:pt idx="3">
                  <c:v>422051.0</c:v>
                </c:pt>
                <c:pt idx="4">
                  <c:v>603239.0</c:v>
                </c:pt>
                <c:pt idx="5">
                  <c:v>916145.0</c:v>
                </c:pt>
                <c:pt idx="6">
                  <c:v>1.233051E6</c:v>
                </c:pt>
                <c:pt idx="7">
                  <c:v>1.554091E6</c:v>
                </c:pt>
                <c:pt idx="8">
                  <c:v>1.876991E6</c:v>
                </c:pt>
                <c:pt idx="9">
                  <c:v>2.202191E6</c:v>
                </c:pt>
                <c:pt idx="10">
                  <c:v>2.529391E6</c:v>
                </c:pt>
                <c:pt idx="11">
                  <c:v>2.859251E6</c:v>
                </c:pt>
                <c:pt idx="12">
                  <c:v>3.189901E6</c:v>
                </c:pt>
                <c:pt idx="13">
                  <c:v>3.522311E6</c:v>
                </c:pt>
                <c:pt idx="14">
                  <c:v>3.856431E6</c:v>
                </c:pt>
                <c:pt idx="15">
                  <c:v>4.193001E6</c:v>
                </c:pt>
              </c:numCache>
            </c:numRef>
          </c:val>
          <c:smooth val="0"/>
        </c:ser>
        <c:ser>
          <c:idx val="1"/>
          <c:order val="1"/>
          <c:tx>
            <c:v>Closed faults case</c:v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WWPT!$M$5:$M$20</c:f>
              <c:numCache>
                <c:formatCode>General</c:formatCode>
                <c:ptCount val="16"/>
                <c:pt idx="0">
                  <c:v>122034.0</c:v>
                </c:pt>
                <c:pt idx="1">
                  <c:v>122890.0</c:v>
                </c:pt>
                <c:pt idx="2">
                  <c:v>306261.0</c:v>
                </c:pt>
                <c:pt idx="3">
                  <c:v>437254.0</c:v>
                </c:pt>
                <c:pt idx="4">
                  <c:v>624068.0</c:v>
                </c:pt>
                <c:pt idx="5">
                  <c:v>945266.0</c:v>
                </c:pt>
                <c:pt idx="6">
                  <c:v>1.269078E6</c:v>
                </c:pt>
                <c:pt idx="7">
                  <c:v>1.595968E6</c:v>
                </c:pt>
                <c:pt idx="8">
                  <c:v>1.923848E6</c:v>
                </c:pt>
                <c:pt idx="9">
                  <c:v>2.253428E6</c:v>
                </c:pt>
                <c:pt idx="10">
                  <c:v>2.584628E6</c:v>
                </c:pt>
                <c:pt idx="11">
                  <c:v>2.918228E6</c:v>
                </c:pt>
                <c:pt idx="12">
                  <c:v>3.252218E6</c:v>
                </c:pt>
                <c:pt idx="13">
                  <c:v>3.587378E6</c:v>
                </c:pt>
                <c:pt idx="14">
                  <c:v>3.923588E6</c:v>
                </c:pt>
                <c:pt idx="15">
                  <c:v>4.261708E6</c:v>
                </c:pt>
              </c:numCache>
            </c:numRef>
          </c:val>
          <c:smooth val="0"/>
        </c:ser>
        <c:ser>
          <c:idx val="2"/>
          <c:order val="2"/>
          <c:tx>
            <c:v>New wells case</c:v>
          </c:tx>
          <c:marker>
            <c:symbol val="none"/>
          </c:marker>
          <c:cat>
            <c:numRef>
              <c:f>WOPT!$I$26:$I$41</c:f>
              <c:numCache>
                <c:formatCode>d:m:yy;@</c:formatCode>
                <c:ptCount val="16"/>
                <c:pt idx="0">
                  <c:v>41061.0</c:v>
                </c:pt>
                <c:pt idx="1">
                  <c:v>41062.0</c:v>
                </c:pt>
                <c:pt idx="2">
                  <c:v>41275.0</c:v>
                </c:pt>
                <c:pt idx="3">
                  <c:v>41426.0</c:v>
                </c:pt>
                <c:pt idx="4">
                  <c:v>41640.0</c:v>
                </c:pt>
                <c:pt idx="5">
                  <c:v>42005.0</c:v>
                </c:pt>
                <c:pt idx="6">
                  <c:v>42370.0</c:v>
                </c:pt>
                <c:pt idx="7">
                  <c:v>42736.0</c:v>
                </c:pt>
                <c:pt idx="8">
                  <c:v>43101.0</c:v>
                </c:pt>
                <c:pt idx="9">
                  <c:v>43466.0</c:v>
                </c:pt>
                <c:pt idx="10">
                  <c:v>43831.0</c:v>
                </c:pt>
                <c:pt idx="11">
                  <c:v>44197.0</c:v>
                </c:pt>
                <c:pt idx="12">
                  <c:v>44562.0</c:v>
                </c:pt>
                <c:pt idx="13">
                  <c:v>44927.0</c:v>
                </c:pt>
                <c:pt idx="14">
                  <c:v>45292.0</c:v>
                </c:pt>
                <c:pt idx="15">
                  <c:v>45658.0</c:v>
                </c:pt>
              </c:numCache>
            </c:numRef>
          </c:cat>
          <c:val>
            <c:numRef>
              <c:f>WWPT!$N$5:$N$20</c:f>
              <c:numCache>
                <c:formatCode>General</c:formatCode>
                <c:ptCount val="16"/>
                <c:pt idx="0">
                  <c:v>122022.0</c:v>
                </c:pt>
                <c:pt idx="1">
                  <c:v>122878.0</c:v>
                </c:pt>
                <c:pt idx="2">
                  <c:v>305764.0</c:v>
                </c:pt>
                <c:pt idx="3">
                  <c:v>436058.0</c:v>
                </c:pt>
                <c:pt idx="4">
                  <c:v>621680.0</c:v>
                </c:pt>
                <c:pt idx="5">
                  <c:v>940499.0</c:v>
                </c:pt>
                <c:pt idx="6">
                  <c:v>1.261627E6</c:v>
                </c:pt>
                <c:pt idx="7">
                  <c:v>1.585517E6</c:v>
                </c:pt>
                <c:pt idx="8">
                  <c:v>1.910277E6</c:v>
                </c:pt>
                <c:pt idx="9">
                  <c:v>2.236737E6</c:v>
                </c:pt>
                <c:pt idx="10">
                  <c:v>2.564947E6</c:v>
                </c:pt>
                <c:pt idx="11">
                  <c:v>2.895787E6</c:v>
                </c:pt>
                <c:pt idx="12">
                  <c:v>3.227377E6</c:v>
                </c:pt>
                <c:pt idx="13">
                  <c:v>3.560587E6</c:v>
                </c:pt>
                <c:pt idx="14">
                  <c:v>3.895297E6</c:v>
                </c:pt>
                <c:pt idx="15">
                  <c:v>4.232247E6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593608"/>
        <c:axId val="633599000"/>
      </c:lineChart>
      <c:dateAx>
        <c:axId val="633593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Year</a:t>
                </a:r>
              </a:p>
            </c:rich>
          </c:tx>
          <c:layout/>
          <c:overlay val="0"/>
        </c:title>
        <c:numFmt formatCode="d:m:yy;@" sourceLinked="1"/>
        <c:majorTickMark val="out"/>
        <c:minorTickMark val="none"/>
        <c:tickLblPos val="nextTo"/>
        <c:crossAx val="633599000"/>
        <c:crosses val="autoZero"/>
        <c:auto val="1"/>
        <c:lblOffset val="100"/>
        <c:baseTimeUnit val="days"/>
      </c:dateAx>
      <c:valAx>
        <c:axId val="633599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Total</a:t>
                </a:r>
                <a:r>
                  <a:rPr lang="nb-NO" baseline="0"/>
                  <a:t> water production [Sm3]</a:t>
                </a:r>
                <a:endParaRPr lang="nb-NO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3593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202165354331"/>
          <c:y val="0.411760349263273"/>
          <c:w val="0.260297834645669"/>
          <c:h val="0.2982610898885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Relationship Id="rId3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4" Type="http://schemas.openxmlformats.org/officeDocument/2006/relationships/chart" Target="../charts/chart11.xml"/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927100</xdr:colOff>
      <xdr:row>2</xdr:row>
      <xdr:rowOff>77787</xdr:rowOff>
    </xdr:from>
    <xdr:to>
      <xdr:col>24</xdr:col>
      <xdr:colOff>393700</xdr:colOff>
      <xdr:row>19</xdr:row>
      <xdr:rowOff>92075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609600</xdr:colOff>
      <xdr:row>24</xdr:row>
      <xdr:rowOff>115887</xdr:rowOff>
    </xdr:from>
    <xdr:to>
      <xdr:col>25</xdr:col>
      <xdr:colOff>609600</xdr:colOff>
      <xdr:row>39</xdr:row>
      <xdr:rowOff>14287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622300</xdr:colOff>
      <xdr:row>43</xdr:row>
      <xdr:rowOff>127000</xdr:rowOff>
    </xdr:from>
    <xdr:to>
      <xdr:col>23</xdr:col>
      <xdr:colOff>215900</xdr:colOff>
      <xdr:row>59</xdr:row>
      <xdr:rowOff>25400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34</xdr:col>
      <xdr:colOff>660400</xdr:colOff>
      <xdr:row>20</xdr:row>
      <xdr:rowOff>14288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927100</xdr:colOff>
      <xdr:row>2</xdr:row>
      <xdr:rowOff>77787</xdr:rowOff>
    </xdr:from>
    <xdr:to>
      <xdr:col>24</xdr:col>
      <xdr:colOff>393700</xdr:colOff>
      <xdr:row>19</xdr:row>
      <xdr:rowOff>92075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609600</xdr:colOff>
      <xdr:row>24</xdr:row>
      <xdr:rowOff>115887</xdr:rowOff>
    </xdr:from>
    <xdr:to>
      <xdr:col>25</xdr:col>
      <xdr:colOff>609600</xdr:colOff>
      <xdr:row>39</xdr:row>
      <xdr:rowOff>14287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622300</xdr:colOff>
      <xdr:row>43</xdr:row>
      <xdr:rowOff>127000</xdr:rowOff>
    </xdr:from>
    <xdr:to>
      <xdr:col>23</xdr:col>
      <xdr:colOff>215900</xdr:colOff>
      <xdr:row>59</xdr:row>
      <xdr:rowOff>25400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23</xdr:row>
      <xdr:rowOff>0</xdr:rowOff>
    </xdr:from>
    <xdr:to>
      <xdr:col>22</xdr:col>
      <xdr:colOff>368300</xdr:colOff>
      <xdr:row>37</xdr:row>
      <xdr:rowOff>76200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</xdr:row>
      <xdr:rowOff>114300</xdr:rowOff>
    </xdr:from>
    <xdr:to>
      <xdr:col>23</xdr:col>
      <xdr:colOff>368300</xdr:colOff>
      <xdr:row>17</xdr:row>
      <xdr:rowOff>12700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23</xdr:row>
      <xdr:rowOff>0</xdr:rowOff>
    </xdr:from>
    <xdr:to>
      <xdr:col>31</xdr:col>
      <xdr:colOff>368300</xdr:colOff>
      <xdr:row>37</xdr:row>
      <xdr:rowOff>76200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3</xdr:row>
      <xdr:rowOff>0</xdr:rowOff>
    </xdr:from>
    <xdr:to>
      <xdr:col>32</xdr:col>
      <xdr:colOff>368300</xdr:colOff>
      <xdr:row>17</xdr:row>
      <xdr:rowOff>76200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9</xdr:row>
      <xdr:rowOff>50800</xdr:rowOff>
    </xdr:from>
    <xdr:to>
      <xdr:col>12</xdr:col>
      <xdr:colOff>406400</xdr:colOff>
      <xdr:row>28</xdr:row>
      <xdr:rowOff>6350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749300</xdr:colOff>
      <xdr:row>2</xdr:row>
      <xdr:rowOff>88900</xdr:rowOff>
    </xdr:from>
    <xdr:to>
      <xdr:col>17</xdr:col>
      <xdr:colOff>50800</xdr:colOff>
      <xdr:row>27</xdr:row>
      <xdr:rowOff>6350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292100</xdr:colOff>
      <xdr:row>35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dreeianeaarsland/Library/Mail%20Downloads/WELLS%20-%20DATAS%20-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fer%20ny%20br&#248;nn%20(med%20skatt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ELL - B37 "/>
      <sheetName val="task 1 - WOPT"/>
      <sheetName val="task 2 - WPT"/>
      <sheetName val="task 3 - BHP"/>
      <sheetName val="WELL - A - 39 A"/>
      <sheetName val="task 4 - WOPT"/>
      <sheetName val="task 5 - WPT"/>
      <sheetName val="task 6 -BHP"/>
      <sheetName val="Sheet3"/>
    </sheetNames>
    <sheetDataSet>
      <sheetData sheetId="0">
        <row r="55">
          <cell r="D55" t="str">
            <v>Base case</v>
          </cell>
        </row>
        <row r="56">
          <cell r="C56">
            <v>40544</v>
          </cell>
          <cell r="D56">
            <v>270.28640000000001</v>
          </cell>
          <cell r="E56">
            <v>177.89570000000001</v>
          </cell>
        </row>
        <row r="57">
          <cell r="C57">
            <v>40909</v>
          </cell>
          <cell r="D57">
            <v>268.72669999999999</v>
          </cell>
          <cell r="E57">
            <v>177.97370000000001</v>
          </cell>
        </row>
        <row r="58">
          <cell r="C58">
            <v>40918</v>
          </cell>
          <cell r="D58">
            <v>268.69799999999998</v>
          </cell>
          <cell r="E58">
            <v>177.97819999999999</v>
          </cell>
        </row>
        <row r="59">
          <cell r="C59">
            <v>41061</v>
          </cell>
          <cell r="D59">
            <v>268.2953</v>
          </cell>
          <cell r="E59">
            <v>178.0625</v>
          </cell>
        </row>
        <row r="60">
          <cell r="C60">
            <v>41062</v>
          </cell>
          <cell r="D60">
            <v>268.29329999999999</v>
          </cell>
          <cell r="E60">
            <v>178.0615</v>
          </cell>
        </row>
        <row r="61">
          <cell r="C61">
            <v>41275</v>
          </cell>
          <cell r="D61">
            <v>267.84010000000001</v>
          </cell>
          <cell r="E61">
            <v>178.24950000000001</v>
          </cell>
        </row>
        <row r="62">
          <cell r="C62">
            <v>41426</v>
          </cell>
          <cell r="D62">
            <v>267.6524</v>
          </cell>
          <cell r="E62">
            <v>178.376</v>
          </cell>
        </row>
        <row r="63">
          <cell r="C63">
            <v>41640</v>
          </cell>
          <cell r="D63">
            <v>267.52289999999999</v>
          </cell>
          <cell r="E63">
            <v>178.50129999999999</v>
          </cell>
        </row>
        <row r="64">
          <cell r="C64">
            <v>42005</v>
          </cell>
          <cell r="D64">
            <v>267.49509999999998</v>
          </cell>
          <cell r="E64">
            <v>178.5609</v>
          </cell>
        </row>
        <row r="65">
          <cell r="C65">
            <v>42370</v>
          </cell>
          <cell r="D65">
            <v>267.5908</v>
          </cell>
          <cell r="E65">
            <v>178.4974</v>
          </cell>
        </row>
        <row r="66">
          <cell r="C66">
            <v>42736</v>
          </cell>
          <cell r="D66">
            <v>267.57080000000002</v>
          </cell>
          <cell r="E66">
            <v>178.36320000000001</v>
          </cell>
        </row>
        <row r="67">
          <cell r="C67">
            <v>43101</v>
          </cell>
          <cell r="D67">
            <v>267.69450000000001</v>
          </cell>
          <cell r="E67">
            <v>178.1728</v>
          </cell>
        </row>
        <row r="68">
          <cell r="C68">
            <v>43466</v>
          </cell>
          <cell r="D68">
            <v>267.90929999999997</v>
          </cell>
          <cell r="E68">
            <v>177.92099999999999</v>
          </cell>
        </row>
        <row r="69">
          <cell r="C69">
            <v>43831</v>
          </cell>
          <cell r="D69">
            <v>268.10820000000001</v>
          </cell>
          <cell r="E69">
            <v>177.61449999999999</v>
          </cell>
        </row>
        <row r="70">
          <cell r="C70">
            <v>44197</v>
          </cell>
          <cell r="D70">
            <v>268.2722</v>
          </cell>
          <cell r="E70">
            <v>177.25989999999999</v>
          </cell>
        </row>
        <row r="71">
          <cell r="C71">
            <v>44562</v>
          </cell>
          <cell r="D71">
            <v>268.39389999999997</v>
          </cell>
          <cell r="E71">
            <v>176.86330000000001</v>
          </cell>
        </row>
        <row r="72">
          <cell r="C72">
            <v>44927</v>
          </cell>
          <cell r="D72">
            <v>268.50689999999997</v>
          </cell>
          <cell r="E72">
            <v>176.48869999999999</v>
          </cell>
        </row>
        <row r="73">
          <cell r="C73">
            <v>45292</v>
          </cell>
          <cell r="D73">
            <v>268.57830000000001</v>
          </cell>
          <cell r="E73">
            <v>176.0959</v>
          </cell>
        </row>
        <row r="74">
          <cell r="C74">
            <v>45658</v>
          </cell>
          <cell r="D74">
            <v>268.65269999999998</v>
          </cell>
          <cell r="E74">
            <v>175.66300000000001</v>
          </cell>
        </row>
      </sheetData>
      <sheetData sheetId="4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OPT"/>
      <sheetName val="WWPT"/>
      <sheetName val="Bottom hole pressure "/>
      <sheetName val="NPV calculation"/>
    </sheetNames>
    <sheetDataSet>
      <sheetData sheetId="0">
        <row r="2">
          <cell r="J2" t="str">
            <v>BC</v>
          </cell>
          <cell r="K2" t="str">
            <v>MLT_BC</v>
          </cell>
          <cell r="L2" t="str">
            <v>New Well</v>
          </cell>
        </row>
        <row r="4">
          <cell r="I4">
            <v>41061</v>
          </cell>
          <cell r="J4">
            <v>25381</v>
          </cell>
          <cell r="K4">
            <v>20966</v>
          </cell>
          <cell r="L4">
            <v>20977</v>
          </cell>
        </row>
        <row r="5">
          <cell r="I5">
            <v>41062</v>
          </cell>
          <cell r="J5">
            <v>25555</v>
          </cell>
          <cell r="K5">
            <v>21110</v>
          </cell>
          <cell r="L5">
            <v>21121</v>
          </cell>
        </row>
        <row r="6">
          <cell r="I6">
            <v>41275</v>
          </cell>
          <cell r="J6">
            <v>61617</v>
          </cell>
          <cell r="K6">
            <v>50739</v>
          </cell>
          <cell r="L6">
            <v>51236</v>
          </cell>
        </row>
        <row r="7">
          <cell r="I7">
            <v>41426</v>
          </cell>
          <cell r="J7">
            <v>85949</v>
          </cell>
          <cell r="K7">
            <v>70747</v>
          </cell>
          <cell r="L7">
            <v>71942</v>
          </cell>
        </row>
        <row r="8">
          <cell r="I8">
            <v>41640</v>
          </cell>
          <cell r="J8">
            <v>118761</v>
          </cell>
          <cell r="K8">
            <v>97932</v>
          </cell>
          <cell r="L8">
            <v>100319</v>
          </cell>
        </row>
        <row r="9">
          <cell r="I9">
            <v>42005</v>
          </cell>
          <cell r="J9">
            <v>170855</v>
          </cell>
          <cell r="K9">
            <v>141735</v>
          </cell>
          <cell r="L9">
            <v>146500</v>
          </cell>
        </row>
        <row r="10">
          <cell r="I10">
            <v>42370</v>
          </cell>
          <cell r="J10">
            <v>218945</v>
          </cell>
          <cell r="K10">
            <v>182927</v>
          </cell>
          <cell r="L10">
            <v>190374</v>
          </cell>
        </row>
        <row r="11">
          <cell r="I11">
            <v>42736</v>
          </cell>
          <cell r="J11">
            <v>263909</v>
          </cell>
          <cell r="K11">
            <v>222034</v>
          </cell>
          <cell r="L11">
            <v>232480</v>
          </cell>
        </row>
        <row r="12">
          <cell r="I12">
            <v>43101</v>
          </cell>
          <cell r="J12">
            <v>306014</v>
          </cell>
          <cell r="K12">
            <v>259149</v>
          </cell>
          <cell r="L12">
            <v>272726</v>
          </cell>
        </row>
        <row r="13">
          <cell r="I13">
            <v>43466</v>
          </cell>
          <cell r="J13">
            <v>345810</v>
          </cell>
          <cell r="K13">
            <v>294571</v>
          </cell>
          <cell r="L13">
            <v>311262</v>
          </cell>
        </row>
        <row r="14">
          <cell r="I14">
            <v>43831</v>
          </cell>
          <cell r="J14">
            <v>383612</v>
          </cell>
          <cell r="K14">
            <v>328376</v>
          </cell>
          <cell r="L14">
            <v>348054</v>
          </cell>
        </row>
        <row r="15">
          <cell r="I15">
            <v>44197</v>
          </cell>
          <cell r="J15">
            <v>419754</v>
          </cell>
          <cell r="K15">
            <v>360772</v>
          </cell>
          <cell r="L15">
            <v>383208</v>
          </cell>
        </row>
        <row r="16">
          <cell r="I16">
            <v>44562</v>
          </cell>
          <cell r="J16">
            <v>454098</v>
          </cell>
          <cell r="K16">
            <v>391781</v>
          </cell>
          <cell r="L16">
            <v>416622</v>
          </cell>
        </row>
        <row r="17">
          <cell r="I17">
            <v>44927</v>
          </cell>
          <cell r="J17">
            <v>486687</v>
          </cell>
          <cell r="K17">
            <v>421622</v>
          </cell>
          <cell r="L17">
            <v>448409</v>
          </cell>
        </row>
        <row r="18">
          <cell r="I18">
            <v>45292</v>
          </cell>
          <cell r="J18">
            <v>517566</v>
          </cell>
          <cell r="K18">
            <v>450410</v>
          </cell>
          <cell r="L18">
            <v>478704</v>
          </cell>
        </row>
        <row r="19">
          <cell r="I19">
            <v>45658</v>
          </cell>
          <cell r="J19">
            <v>547000</v>
          </cell>
          <cell r="K19">
            <v>478296</v>
          </cell>
          <cell r="L19">
            <v>507754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opLeftCell="R10" workbookViewId="0">
      <selection activeCell="AA4" sqref="AA4"/>
    </sheetView>
  </sheetViews>
  <sheetFormatPr baseColWidth="10" defaultColWidth="8.83203125" defaultRowHeight="14" x14ac:dyDescent="0"/>
  <cols>
    <col min="1" max="1" width="12.1640625" bestFit="1" customWidth="1"/>
    <col min="2" max="3" width="11.5" bestFit="1" customWidth="1"/>
    <col min="4" max="4" width="17.5" customWidth="1"/>
    <col min="5" max="5" width="11.5" bestFit="1" customWidth="1"/>
    <col min="6" max="6" width="15.6640625" customWidth="1"/>
    <col min="7" max="7" width="10.5" bestFit="1" customWidth="1"/>
    <col min="8" max="8" width="9.1640625" bestFit="1" customWidth="1"/>
    <col min="9" max="9" width="25.5" bestFit="1" customWidth="1"/>
    <col min="10" max="10" width="14.5" customWidth="1"/>
    <col min="11" max="11" width="18.33203125" customWidth="1"/>
    <col min="12" max="12" width="10.5" bestFit="1" customWidth="1"/>
    <col min="13" max="13" width="17.6640625" style="11" customWidth="1"/>
    <col min="14" max="14" width="21.5" style="11" customWidth="1"/>
    <col min="15" max="15" width="15.83203125" style="34" customWidth="1"/>
    <col min="16" max="16" width="15.33203125" style="34" customWidth="1"/>
    <col min="17" max="17" width="9.1640625" bestFit="1" customWidth="1"/>
  </cols>
  <sheetData>
    <row r="1" spans="1:18">
      <c r="A1" t="s">
        <v>4</v>
      </c>
      <c r="I1" t="s">
        <v>3</v>
      </c>
      <c r="M1" s="11" t="s">
        <v>48</v>
      </c>
      <c r="O1" s="34" t="s">
        <v>49</v>
      </c>
    </row>
    <row r="2" spans="1:18">
      <c r="B2" t="s">
        <v>2</v>
      </c>
      <c r="D2" t="s">
        <v>0</v>
      </c>
      <c r="G2" t="s">
        <v>6</v>
      </c>
      <c r="J2" t="s">
        <v>2</v>
      </c>
      <c r="K2" t="s">
        <v>0</v>
      </c>
      <c r="L2" t="s">
        <v>6</v>
      </c>
      <c r="M2" s="11" t="s">
        <v>37</v>
      </c>
      <c r="N2" s="11" t="s">
        <v>42</v>
      </c>
      <c r="O2" s="35" t="s">
        <v>47</v>
      </c>
      <c r="P2" s="35"/>
      <c r="Q2" s="3"/>
      <c r="R2" s="3"/>
    </row>
    <row r="3" spans="1:18">
      <c r="B3" s="1">
        <v>40918</v>
      </c>
      <c r="C3">
        <v>2959055</v>
      </c>
      <c r="D3" s="1">
        <v>40918</v>
      </c>
      <c r="E3">
        <v>2441330</v>
      </c>
      <c r="F3" s="1">
        <v>40918</v>
      </c>
      <c r="G3">
        <v>2441330</v>
      </c>
      <c r="I3" s="1"/>
      <c r="K3">
        <v>2441330</v>
      </c>
      <c r="L3">
        <v>2441330</v>
      </c>
      <c r="O3" s="35" t="s">
        <v>2</v>
      </c>
      <c r="P3" s="35" t="s">
        <v>11</v>
      </c>
      <c r="Q3" s="3"/>
      <c r="R3" s="3"/>
    </row>
    <row r="4" spans="1:18">
      <c r="B4" s="1">
        <v>41061</v>
      </c>
      <c r="C4">
        <v>2984436</v>
      </c>
      <c r="D4" s="1">
        <v>41061</v>
      </c>
      <c r="E4">
        <v>2462296</v>
      </c>
      <c r="F4" s="1">
        <v>41061</v>
      </c>
      <c r="G4">
        <v>2462307</v>
      </c>
      <c r="I4" s="4">
        <v>41061</v>
      </c>
      <c r="J4">
        <f>C4-C3</f>
        <v>25381</v>
      </c>
      <c r="K4">
        <f>E4-E3</f>
        <v>20966</v>
      </c>
      <c r="L4">
        <f>G4-G3</f>
        <v>20977</v>
      </c>
      <c r="M4" s="11">
        <f>J4-L4</f>
        <v>4404</v>
      </c>
      <c r="N4" s="11">
        <v>4404</v>
      </c>
      <c r="O4" s="34">
        <f>C4-C3</f>
        <v>25381</v>
      </c>
      <c r="P4" s="35">
        <f t="shared" ref="P4:P19" si="0">G4-G3</f>
        <v>20977</v>
      </c>
      <c r="Q4" s="3"/>
      <c r="R4" s="3"/>
    </row>
    <row r="5" spans="1:18">
      <c r="B5" s="1">
        <v>41062</v>
      </c>
      <c r="C5">
        <v>2984610</v>
      </c>
      <c r="D5" s="1">
        <v>41062</v>
      </c>
      <c r="E5">
        <v>2462440</v>
      </c>
      <c r="F5" s="1">
        <v>41062</v>
      </c>
      <c r="G5">
        <v>2462451</v>
      </c>
      <c r="I5" s="4">
        <v>41062</v>
      </c>
      <c r="J5">
        <f t="shared" ref="J5:J19" si="1">C5-C4+J4</f>
        <v>25555</v>
      </c>
      <c r="K5">
        <f>E5-E4+K4</f>
        <v>21110</v>
      </c>
      <c r="L5">
        <f>G5-G4+L4</f>
        <v>21121</v>
      </c>
      <c r="M5" s="11">
        <f t="shared" ref="M5:M19" si="2">J5-L5</f>
        <v>4434</v>
      </c>
      <c r="N5" s="11">
        <f>M5-N4</f>
        <v>30</v>
      </c>
      <c r="O5" s="34">
        <f t="shared" ref="O5:O19" si="3">C5-C4</f>
        <v>174</v>
      </c>
      <c r="P5" s="35">
        <f t="shared" si="0"/>
        <v>144</v>
      </c>
      <c r="Q5" s="3"/>
      <c r="R5" s="3"/>
    </row>
    <row r="6" spans="1:18">
      <c r="B6" s="1">
        <v>41275</v>
      </c>
      <c r="C6">
        <v>3020672</v>
      </c>
      <c r="D6" s="1">
        <v>41275</v>
      </c>
      <c r="E6">
        <v>2492069</v>
      </c>
      <c r="F6" s="1">
        <v>41275</v>
      </c>
      <c r="G6">
        <v>2492566</v>
      </c>
      <c r="I6" s="4">
        <v>41275</v>
      </c>
      <c r="J6">
        <f t="shared" si="1"/>
        <v>61617</v>
      </c>
      <c r="K6">
        <f t="shared" ref="K6:K19" si="4">E6-E5+K5</f>
        <v>50739</v>
      </c>
      <c r="L6">
        <f t="shared" ref="L6:L19" si="5">G6-G5+L5</f>
        <v>51236</v>
      </c>
      <c r="M6" s="11">
        <f t="shared" si="2"/>
        <v>10381</v>
      </c>
      <c r="N6" s="11">
        <f>M6-(N5+N4)</f>
        <v>5947</v>
      </c>
      <c r="O6" s="34">
        <f t="shared" si="3"/>
        <v>36062</v>
      </c>
      <c r="P6" s="35">
        <f t="shared" si="0"/>
        <v>30115</v>
      </c>
      <c r="Q6" s="3"/>
      <c r="R6" s="3"/>
    </row>
    <row r="7" spans="1:18">
      <c r="B7" s="1">
        <v>41426</v>
      </c>
      <c r="C7">
        <v>3045004</v>
      </c>
      <c r="D7" s="1">
        <v>41426</v>
      </c>
      <c r="E7">
        <v>2512077</v>
      </c>
      <c r="F7" s="1">
        <v>41426</v>
      </c>
      <c r="G7">
        <v>2513272</v>
      </c>
      <c r="I7" s="4">
        <v>41426</v>
      </c>
      <c r="J7">
        <f t="shared" si="1"/>
        <v>85949</v>
      </c>
      <c r="K7">
        <f t="shared" si="4"/>
        <v>70747</v>
      </c>
      <c r="L7">
        <f t="shared" si="5"/>
        <v>71942</v>
      </c>
      <c r="M7" s="11">
        <f t="shared" si="2"/>
        <v>14007</v>
      </c>
      <c r="N7" s="11">
        <f>M7-M6</f>
        <v>3626</v>
      </c>
      <c r="O7" s="34">
        <f t="shared" si="3"/>
        <v>24332</v>
      </c>
      <c r="P7" s="35">
        <f t="shared" si="0"/>
        <v>20706</v>
      </c>
      <c r="Q7" s="3"/>
      <c r="R7" s="3"/>
    </row>
    <row r="8" spans="1:18">
      <c r="B8" s="1">
        <v>41640</v>
      </c>
      <c r="C8">
        <v>3077816</v>
      </c>
      <c r="D8" s="1">
        <v>41640</v>
      </c>
      <c r="E8">
        <v>2539262</v>
      </c>
      <c r="F8" s="1">
        <v>41640</v>
      </c>
      <c r="G8">
        <v>2541649</v>
      </c>
      <c r="I8" s="4">
        <v>41640</v>
      </c>
      <c r="J8">
        <f t="shared" si="1"/>
        <v>118761</v>
      </c>
      <c r="K8">
        <f t="shared" si="4"/>
        <v>97932</v>
      </c>
      <c r="L8">
        <f t="shared" si="5"/>
        <v>100319</v>
      </c>
      <c r="M8" s="11">
        <f t="shared" si="2"/>
        <v>18442</v>
      </c>
      <c r="N8" s="11">
        <f>M8-M7</f>
        <v>4435</v>
      </c>
      <c r="O8" s="34">
        <f t="shared" si="3"/>
        <v>32812</v>
      </c>
      <c r="P8" s="35">
        <f t="shared" si="0"/>
        <v>28377</v>
      </c>
      <c r="Q8" s="3"/>
      <c r="R8" s="3"/>
    </row>
    <row r="9" spans="1:18">
      <c r="B9" s="1">
        <v>42005</v>
      </c>
      <c r="C9">
        <v>3129910</v>
      </c>
      <c r="D9" s="1">
        <v>42005</v>
      </c>
      <c r="E9">
        <v>2583065</v>
      </c>
      <c r="F9" s="1">
        <v>42005</v>
      </c>
      <c r="G9">
        <v>2587830</v>
      </c>
      <c r="I9" s="4">
        <v>42005</v>
      </c>
      <c r="J9">
        <f t="shared" si="1"/>
        <v>170855</v>
      </c>
      <c r="K9">
        <f t="shared" si="4"/>
        <v>141735</v>
      </c>
      <c r="L9">
        <f t="shared" si="5"/>
        <v>146500</v>
      </c>
      <c r="M9" s="11">
        <f t="shared" si="2"/>
        <v>24355</v>
      </c>
      <c r="N9" s="11">
        <f t="shared" ref="N9:N19" si="6">M9-M8</f>
        <v>5913</v>
      </c>
      <c r="O9" s="34">
        <f t="shared" si="3"/>
        <v>52094</v>
      </c>
      <c r="P9" s="35">
        <f t="shared" si="0"/>
        <v>46181</v>
      </c>
      <c r="Q9" s="3"/>
      <c r="R9" s="3"/>
    </row>
    <row r="10" spans="1:18">
      <c r="B10" s="1">
        <v>42370</v>
      </c>
      <c r="C10">
        <v>3178000</v>
      </c>
      <c r="D10" s="1">
        <v>42370</v>
      </c>
      <c r="E10">
        <v>2624257</v>
      </c>
      <c r="F10" s="1">
        <v>42370</v>
      </c>
      <c r="G10">
        <v>2631704</v>
      </c>
      <c r="I10" s="4">
        <v>42370</v>
      </c>
      <c r="J10">
        <f t="shared" si="1"/>
        <v>218945</v>
      </c>
      <c r="K10">
        <f t="shared" si="4"/>
        <v>182927</v>
      </c>
      <c r="L10">
        <f t="shared" si="5"/>
        <v>190374</v>
      </c>
      <c r="M10" s="11">
        <f t="shared" si="2"/>
        <v>28571</v>
      </c>
      <c r="N10" s="11">
        <f t="shared" si="6"/>
        <v>4216</v>
      </c>
      <c r="O10" s="34">
        <f t="shared" si="3"/>
        <v>48090</v>
      </c>
      <c r="P10" s="35">
        <f t="shared" si="0"/>
        <v>43874</v>
      </c>
      <c r="Q10" s="3"/>
      <c r="R10" s="3"/>
    </row>
    <row r="11" spans="1:18">
      <c r="B11" s="1">
        <v>42736</v>
      </c>
      <c r="C11">
        <v>3222964</v>
      </c>
      <c r="D11" s="1">
        <v>42736</v>
      </c>
      <c r="E11">
        <v>2663364</v>
      </c>
      <c r="F11" s="1">
        <v>42736</v>
      </c>
      <c r="G11">
        <v>2673810</v>
      </c>
      <c r="I11" s="4">
        <v>42736</v>
      </c>
      <c r="J11">
        <f t="shared" si="1"/>
        <v>263909</v>
      </c>
      <c r="K11">
        <f t="shared" si="4"/>
        <v>222034</v>
      </c>
      <c r="L11">
        <f t="shared" si="5"/>
        <v>232480</v>
      </c>
      <c r="M11" s="11">
        <f t="shared" si="2"/>
        <v>31429</v>
      </c>
      <c r="N11" s="11">
        <f t="shared" si="6"/>
        <v>2858</v>
      </c>
      <c r="O11" s="34">
        <f t="shared" si="3"/>
        <v>44964</v>
      </c>
      <c r="P11" s="35">
        <f t="shared" si="0"/>
        <v>42106</v>
      </c>
      <c r="Q11" s="3"/>
      <c r="R11" s="3"/>
    </row>
    <row r="12" spans="1:18">
      <c r="B12" s="1">
        <v>43101</v>
      </c>
      <c r="C12">
        <v>3265069</v>
      </c>
      <c r="D12" s="1">
        <v>43101</v>
      </c>
      <c r="E12">
        <v>2700479</v>
      </c>
      <c r="F12" s="1">
        <v>43101</v>
      </c>
      <c r="G12">
        <v>2714056</v>
      </c>
      <c r="I12" s="4">
        <v>43101</v>
      </c>
      <c r="J12">
        <f t="shared" si="1"/>
        <v>306014</v>
      </c>
      <c r="K12">
        <f t="shared" si="4"/>
        <v>259149</v>
      </c>
      <c r="L12">
        <f t="shared" si="5"/>
        <v>272726</v>
      </c>
      <c r="M12" s="11">
        <f t="shared" si="2"/>
        <v>33288</v>
      </c>
      <c r="N12" s="11">
        <f t="shared" si="6"/>
        <v>1859</v>
      </c>
      <c r="O12" s="34">
        <f t="shared" si="3"/>
        <v>42105</v>
      </c>
      <c r="P12" s="35">
        <f t="shared" si="0"/>
        <v>40246</v>
      </c>
      <c r="Q12" s="3"/>
      <c r="R12" s="3"/>
    </row>
    <row r="13" spans="1:18">
      <c r="B13" s="1">
        <v>43466</v>
      </c>
      <c r="C13">
        <v>3304865</v>
      </c>
      <c r="D13" s="1">
        <v>43466</v>
      </c>
      <c r="E13">
        <v>2735901</v>
      </c>
      <c r="F13" s="1">
        <v>43466</v>
      </c>
      <c r="G13">
        <v>2752592</v>
      </c>
      <c r="I13" s="4">
        <v>43466</v>
      </c>
      <c r="J13">
        <f t="shared" si="1"/>
        <v>345810</v>
      </c>
      <c r="K13">
        <f t="shared" si="4"/>
        <v>294571</v>
      </c>
      <c r="L13">
        <f t="shared" si="5"/>
        <v>311262</v>
      </c>
      <c r="M13" s="11">
        <f t="shared" si="2"/>
        <v>34548</v>
      </c>
      <c r="N13" s="11">
        <f t="shared" si="6"/>
        <v>1260</v>
      </c>
      <c r="O13" s="34">
        <f t="shared" si="3"/>
        <v>39796</v>
      </c>
      <c r="P13" s="35">
        <f t="shared" si="0"/>
        <v>38536</v>
      </c>
      <c r="Q13" s="3"/>
      <c r="R13" s="3"/>
    </row>
    <row r="14" spans="1:18">
      <c r="B14" s="1">
        <v>43831</v>
      </c>
      <c r="C14">
        <v>3342667</v>
      </c>
      <c r="D14" s="1">
        <v>43831</v>
      </c>
      <c r="E14">
        <v>2769706</v>
      </c>
      <c r="F14" s="1">
        <v>43831</v>
      </c>
      <c r="G14">
        <v>2789384</v>
      </c>
      <c r="I14" s="4">
        <v>43831</v>
      </c>
      <c r="J14">
        <f t="shared" si="1"/>
        <v>383612</v>
      </c>
      <c r="K14">
        <f t="shared" si="4"/>
        <v>328376</v>
      </c>
      <c r="L14">
        <f t="shared" si="5"/>
        <v>348054</v>
      </c>
      <c r="M14" s="11">
        <f t="shared" si="2"/>
        <v>35558</v>
      </c>
      <c r="N14" s="11">
        <f t="shared" si="6"/>
        <v>1010</v>
      </c>
      <c r="O14" s="34">
        <f t="shared" si="3"/>
        <v>37802</v>
      </c>
      <c r="P14" s="35">
        <f t="shared" si="0"/>
        <v>36792</v>
      </c>
      <c r="Q14" s="3"/>
      <c r="R14" s="3"/>
    </row>
    <row r="15" spans="1:18">
      <c r="B15" s="1">
        <v>44197</v>
      </c>
      <c r="C15">
        <v>3378809</v>
      </c>
      <c r="D15" s="1">
        <v>44197</v>
      </c>
      <c r="E15">
        <v>2802102</v>
      </c>
      <c r="F15" s="1">
        <v>44197</v>
      </c>
      <c r="G15">
        <v>2824538</v>
      </c>
      <c r="I15" s="4">
        <v>44197</v>
      </c>
      <c r="J15">
        <f t="shared" si="1"/>
        <v>419754</v>
      </c>
      <c r="K15">
        <f t="shared" si="4"/>
        <v>360772</v>
      </c>
      <c r="L15">
        <f t="shared" si="5"/>
        <v>383208</v>
      </c>
      <c r="M15" s="11">
        <f t="shared" si="2"/>
        <v>36546</v>
      </c>
      <c r="N15" s="11">
        <f t="shared" si="6"/>
        <v>988</v>
      </c>
      <c r="O15" s="34">
        <f t="shared" si="3"/>
        <v>36142</v>
      </c>
      <c r="P15" s="35">
        <f t="shared" si="0"/>
        <v>35154</v>
      </c>
      <c r="Q15" s="3"/>
      <c r="R15" s="3"/>
    </row>
    <row r="16" spans="1:18">
      <c r="B16" s="1">
        <v>44562</v>
      </c>
      <c r="C16">
        <v>3413153</v>
      </c>
      <c r="D16" s="1">
        <v>44562</v>
      </c>
      <c r="E16">
        <v>2833111</v>
      </c>
      <c r="F16" s="1">
        <v>44562</v>
      </c>
      <c r="G16">
        <v>2857952</v>
      </c>
      <c r="I16" s="4">
        <v>44562</v>
      </c>
      <c r="J16">
        <f t="shared" si="1"/>
        <v>454098</v>
      </c>
      <c r="K16">
        <f t="shared" si="4"/>
        <v>391781</v>
      </c>
      <c r="L16">
        <f t="shared" si="5"/>
        <v>416622</v>
      </c>
      <c r="M16" s="11">
        <f t="shared" si="2"/>
        <v>37476</v>
      </c>
      <c r="N16" s="11">
        <f t="shared" si="6"/>
        <v>930</v>
      </c>
      <c r="O16" s="34">
        <f t="shared" si="3"/>
        <v>34344</v>
      </c>
      <c r="P16" s="35">
        <f t="shared" si="0"/>
        <v>33414</v>
      </c>
      <c r="Q16" s="3"/>
      <c r="R16" s="3"/>
    </row>
    <row r="17" spans="1:48">
      <c r="B17" s="1">
        <v>44927</v>
      </c>
      <c r="C17">
        <v>3445742</v>
      </c>
      <c r="D17" s="1">
        <v>44927</v>
      </c>
      <c r="E17">
        <v>2862952</v>
      </c>
      <c r="F17" s="1">
        <v>44927</v>
      </c>
      <c r="G17">
        <v>2889739</v>
      </c>
      <c r="I17" s="4">
        <v>44927</v>
      </c>
      <c r="J17">
        <f t="shared" si="1"/>
        <v>486687</v>
      </c>
      <c r="K17">
        <f t="shared" si="4"/>
        <v>421622</v>
      </c>
      <c r="L17">
        <f t="shared" si="5"/>
        <v>448409</v>
      </c>
      <c r="M17" s="11">
        <f t="shared" si="2"/>
        <v>38278</v>
      </c>
      <c r="N17" s="11">
        <f t="shared" si="6"/>
        <v>802</v>
      </c>
      <c r="O17" s="34">
        <f t="shared" si="3"/>
        <v>32589</v>
      </c>
      <c r="P17" s="35">
        <f t="shared" si="0"/>
        <v>31787</v>
      </c>
      <c r="Q17" s="3"/>
      <c r="R17" s="3"/>
    </row>
    <row r="18" spans="1:48">
      <c r="B18" s="1">
        <v>45292</v>
      </c>
      <c r="C18">
        <v>3476621</v>
      </c>
      <c r="D18" s="1">
        <v>45292</v>
      </c>
      <c r="E18">
        <v>2891740</v>
      </c>
      <c r="F18" s="1">
        <v>45292</v>
      </c>
      <c r="G18">
        <v>2920034</v>
      </c>
      <c r="I18" s="4">
        <v>45292</v>
      </c>
      <c r="J18">
        <f t="shared" si="1"/>
        <v>517566</v>
      </c>
      <c r="K18">
        <f t="shared" si="4"/>
        <v>450410</v>
      </c>
      <c r="L18">
        <f t="shared" si="5"/>
        <v>478704</v>
      </c>
      <c r="M18" s="11">
        <f t="shared" si="2"/>
        <v>38862</v>
      </c>
      <c r="N18" s="11">
        <f t="shared" si="6"/>
        <v>584</v>
      </c>
      <c r="O18" s="34">
        <f t="shared" si="3"/>
        <v>30879</v>
      </c>
      <c r="P18" s="35">
        <f t="shared" si="0"/>
        <v>30295</v>
      </c>
      <c r="Q18" s="3"/>
      <c r="R18" s="3"/>
    </row>
    <row r="19" spans="1:48">
      <c r="B19" s="1">
        <v>45658</v>
      </c>
      <c r="C19">
        <v>3506055</v>
      </c>
      <c r="D19" s="1">
        <v>45658</v>
      </c>
      <c r="E19">
        <v>2919626</v>
      </c>
      <c r="F19" s="1">
        <v>45658</v>
      </c>
      <c r="G19" s="3">
        <v>2949084</v>
      </c>
      <c r="I19" s="4">
        <v>45658</v>
      </c>
      <c r="J19">
        <f t="shared" si="1"/>
        <v>547000</v>
      </c>
      <c r="K19">
        <f t="shared" si="4"/>
        <v>478296</v>
      </c>
      <c r="L19">
        <f t="shared" si="5"/>
        <v>507754</v>
      </c>
      <c r="M19" s="11">
        <f t="shared" si="2"/>
        <v>39246</v>
      </c>
      <c r="N19" s="11">
        <f t="shared" si="6"/>
        <v>384</v>
      </c>
      <c r="O19" s="34">
        <f t="shared" si="3"/>
        <v>29434</v>
      </c>
      <c r="P19" s="35">
        <f t="shared" si="0"/>
        <v>29050</v>
      </c>
      <c r="Q19" s="3"/>
      <c r="R19" s="3"/>
    </row>
    <row r="20" spans="1:48">
      <c r="F20" s="1"/>
      <c r="G20" s="2"/>
      <c r="K20" s="3"/>
      <c r="O20" s="35"/>
      <c r="P20" s="35"/>
      <c r="Q20" s="3"/>
      <c r="R20" s="3"/>
    </row>
    <row r="21" spans="1:48">
      <c r="F21" s="1"/>
      <c r="G21" s="2"/>
      <c r="J21" s="1"/>
      <c r="K21" s="2"/>
      <c r="O21" s="35"/>
      <c r="P21" s="35"/>
      <c r="Q21" s="3"/>
      <c r="R21" s="3"/>
    </row>
    <row r="22" spans="1:48">
      <c r="B22" s="3"/>
      <c r="C22" s="3"/>
      <c r="D22" s="3"/>
      <c r="E22" s="3"/>
      <c r="G22" s="3"/>
      <c r="H22" s="3"/>
      <c r="I22" s="3"/>
      <c r="J22" s="3"/>
      <c r="K22" s="3">
        <f>J19-L19</f>
        <v>39246</v>
      </c>
      <c r="L22" s="3">
        <f>K44+K22</f>
        <v>380221.1</v>
      </c>
      <c r="M22" s="33"/>
      <c r="N22" s="33">
        <f>G62-L22</f>
        <v>447219.70000000007</v>
      </c>
      <c r="O22" s="35">
        <f>N22*6.29</f>
        <v>2813011.9130000006</v>
      </c>
      <c r="P22" s="35">
        <f>O22*100*6</f>
        <v>1687807147.8000004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B23" s="3"/>
      <c r="C23" s="3"/>
      <c r="D23" s="3"/>
      <c r="E23" s="3"/>
      <c r="G23" s="3"/>
      <c r="H23" s="3"/>
      <c r="I23" s="3"/>
      <c r="J23" s="3"/>
      <c r="K23" s="3"/>
      <c r="L23" s="3"/>
      <c r="M23" s="33"/>
      <c r="N23" s="33"/>
      <c r="O23" s="35"/>
      <c r="P23" s="35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t="s">
        <v>5</v>
      </c>
      <c r="B24" s="3"/>
      <c r="C24" s="3"/>
      <c r="D24" s="3"/>
      <c r="E24" s="3"/>
      <c r="G24" s="3"/>
      <c r="H24" s="3"/>
      <c r="I24" t="s">
        <v>3</v>
      </c>
      <c r="J24" s="3"/>
      <c r="K24" s="3"/>
      <c r="L24" s="3"/>
      <c r="M24" s="33"/>
      <c r="N24" s="33"/>
      <c r="O24" s="35"/>
      <c r="P24" s="35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B25" s="1">
        <v>40918</v>
      </c>
      <c r="C25" s="3">
        <v>1465285</v>
      </c>
      <c r="D25" s="1">
        <v>40918</v>
      </c>
      <c r="E25" s="3">
        <v>847691.4</v>
      </c>
      <c r="F25" s="1">
        <v>40918</v>
      </c>
      <c r="G25" s="3">
        <v>847688.1</v>
      </c>
      <c r="H25" s="3"/>
      <c r="I25" s="3"/>
      <c r="J25" t="s">
        <v>2</v>
      </c>
      <c r="K25" t="s">
        <v>0</v>
      </c>
      <c r="L25" t="s">
        <v>6</v>
      </c>
      <c r="M25" s="33" t="s">
        <v>37</v>
      </c>
      <c r="N25" s="33" t="s">
        <v>41</v>
      </c>
      <c r="O25" s="35" t="s">
        <v>50</v>
      </c>
      <c r="P25" s="35" t="s">
        <v>51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B26" s="1">
        <v>41061</v>
      </c>
      <c r="C26" s="3">
        <v>1497996</v>
      </c>
      <c r="D26" s="1">
        <v>41061</v>
      </c>
      <c r="E26" s="3">
        <v>874928.6</v>
      </c>
      <c r="F26" s="1">
        <v>41061</v>
      </c>
      <c r="G26" s="3">
        <v>874693.8</v>
      </c>
      <c r="H26" s="3"/>
      <c r="I26" s="4">
        <v>41061</v>
      </c>
      <c r="J26" s="3">
        <f>C26-C25</f>
        <v>32711</v>
      </c>
      <c r="K26" s="3">
        <f>E26-E25</f>
        <v>27237.199999999953</v>
      </c>
      <c r="L26" s="3">
        <f>G26-G25</f>
        <v>27005.70000000007</v>
      </c>
      <c r="M26" s="33">
        <f>J26-L26</f>
        <v>5705.2999999999302</v>
      </c>
      <c r="N26" s="33">
        <f>M26</f>
        <v>5705.2999999999302</v>
      </c>
      <c r="O26" s="35">
        <f>C26-C25</f>
        <v>32711</v>
      </c>
      <c r="P26" s="35">
        <f>G26-G25</f>
        <v>27005.70000000007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B27" s="1">
        <v>41062</v>
      </c>
      <c r="C27" s="3">
        <v>1498221</v>
      </c>
      <c r="D27" s="1">
        <v>41062</v>
      </c>
      <c r="E27" s="3">
        <v>875115.7</v>
      </c>
      <c r="F27" s="1">
        <v>41062</v>
      </c>
      <c r="G27" s="3">
        <v>874872.8</v>
      </c>
      <c r="H27" s="3"/>
      <c r="I27" s="4">
        <v>41062</v>
      </c>
      <c r="J27" s="3">
        <f t="shared" ref="J27:J41" si="7">C27-C26+J26</f>
        <v>32936</v>
      </c>
      <c r="K27" s="3">
        <f t="shared" ref="K27:K41" si="8">E27-E26+K26</f>
        <v>27424.29999999993</v>
      </c>
      <c r="L27" s="3">
        <f t="shared" ref="L27:L41" si="9">G27-G26+L26</f>
        <v>27184.70000000007</v>
      </c>
      <c r="M27" s="33">
        <f t="shared" ref="M27:M41" si="10">J27-L27</f>
        <v>5751.2999999999302</v>
      </c>
      <c r="N27" s="33">
        <f>M27-M26</f>
        <v>46</v>
      </c>
      <c r="O27" s="35">
        <f t="shared" ref="O27:O41" si="11">C27-C26</f>
        <v>225</v>
      </c>
      <c r="P27" s="35">
        <f t="shared" ref="P27:P41" si="12">G27-G26</f>
        <v>179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>
      <c r="B28" s="1">
        <v>41275</v>
      </c>
      <c r="C28" s="3">
        <v>1545179</v>
      </c>
      <c r="D28" s="1">
        <v>41275</v>
      </c>
      <c r="E28" s="3">
        <v>913667.7</v>
      </c>
      <c r="F28" s="1">
        <v>41275</v>
      </c>
      <c r="G28" s="3">
        <v>906844.4</v>
      </c>
      <c r="H28" s="3"/>
      <c r="I28" s="4">
        <v>41275</v>
      </c>
      <c r="J28" s="3">
        <f t="shared" si="7"/>
        <v>79894</v>
      </c>
      <c r="K28" s="3">
        <f t="shared" si="8"/>
        <v>65976.29999999993</v>
      </c>
      <c r="L28" s="3">
        <f t="shared" si="9"/>
        <v>59156.300000000047</v>
      </c>
      <c r="M28" s="33">
        <f t="shared" si="10"/>
        <v>20737.699999999953</v>
      </c>
      <c r="N28" s="33">
        <f>M28-M27</f>
        <v>14986.400000000023</v>
      </c>
      <c r="O28" s="35">
        <f t="shared" si="11"/>
        <v>46958</v>
      </c>
      <c r="P28" s="35">
        <f t="shared" si="12"/>
        <v>31971.599999999977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>
      <c r="B29" s="1">
        <v>41426</v>
      </c>
      <c r="C29" s="3">
        <v>1577131</v>
      </c>
      <c r="D29" s="1">
        <v>41426</v>
      </c>
      <c r="E29" s="3">
        <v>939451.9</v>
      </c>
      <c r="F29" s="1">
        <v>41426</v>
      </c>
      <c r="G29" s="3">
        <v>923756.6</v>
      </c>
      <c r="H29" s="3"/>
      <c r="I29" s="4">
        <v>41426</v>
      </c>
      <c r="J29" s="3">
        <f t="shared" si="7"/>
        <v>111846</v>
      </c>
      <c r="K29" s="3">
        <f t="shared" si="8"/>
        <v>91760.5</v>
      </c>
      <c r="L29" s="3">
        <f t="shared" si="9"/>
        <v>76068.5</v>
      </c>
      <c r="M29" s="33">
        <f t="shared" si="10"/>
        <v>35777.5</v>
      </c>
      <c r="N29" s="33">
        <f>M29-M28</f>
        <v>15039.800000000047</v>
      </c>
      <c r="O29" s="35">
        <f t="shared" si="11"/>
        <v>31952</v>
      </c>
      <c r="P29" s="35">
        <f t="shared" si="12"/>
        <v>16912.199999999953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>
      <c r="B30" s="1">
        <v>41640</v>
      </c>
      <c r="C30" s="3">
        <v>1620180</v>
      </c>
      <c r="D30" s="1">
        <v>41640</v>
      </c>
      <c r="E30" s="3">
        <v>973904.6</v>
      </c>
      <c r="F30" s="1">
        <v>41640</v>
      </c>
      <c r="G30" s="3">
        <v>943570.3</v>
      </c>
      <c r="H30" s="3"/>
      <c r="I30" s="4">
        <v>41640</v>
      </c>
      <c r="J30" s="3">
        <f t="shared" si="7"/>
        <v>154895</v>
      </c>
      <c r="K30" s="3">
        <f t="shared" si="8"/>
        <v>126213.19999999995</v>
      </c>
      <c r="L30" s="3">
        <f t="shared" si="9"/>
        <v>95882.20000000007</v>
      </c>
      <c r="M30" s="33">
        <f t="shared" si="10"/>
        <v>59012.79999999993</v>
      </c>
      <c r="N30" s="33">
        <f t="shared" ref="N30:N41" si="13">M30-M29</f>
        <v>23235.29999999993</v>
      </c>
      <c r="O30" s="35">
        <f t="shared" si="11"/>
        <v>43049</v>
      </c>
      <c r="P30" s="35">
        <f t="shared" si="12"/>
        <v>19813.70000000007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>
      <c r="B31" s="1">
        <v>42005</v>
      </c>
      <c r="C31" s="3">
        <v>1687953</v>
      </c>
      <c r="D31" s="1">
        <v>42005</v>
      </c>
      <c r="E31" s="3">
        <v>1027897</v>
      </c>
      <c r="F31" s="1">
        <v>42005</v>
      </c>
      <c r="G31" s="3">
        <v>973935.7</v>
      </c>
      <c r="H31" s="3"/>
      <c r="I31" s="4">
        <v>42005</v>
      </c>
      <c r="J31" s="3">
        <f t="shared" si="7"/>
        <v>222668</v>
      </c>
      <c r="K31" s="3">
        <f t="shared" si="8"/>
        <v>180205.59999999998</v>
      </c>
      <c r="L31" s="3">
        <f t="shared" si="9"/>
        <v>126247.59999999998</v>
      </c>
      <c r="M31" s="33">
        <f t="shared" si="10"/>
        <v>96420.400000000023</v>
      </c>
      <c r="N31" s="33">
        <f t="shared" si="13"/>
        <v>37407.600000000093</v>
      </c>
      <c r="O31" s="35">
        <f t="shared" si="11"/>
        <v>67773</v>
      </c>
      <c r="P31" s="35">
        <f t="shared" si="12"/>
        <v>30365.399999999907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>
      <c r="B32" s="1">
        <v>42370</v>
      </c>
      <c r="C32" s="3">
        <v>1749774</v>
      </c>
      <c r="D32" s="1">
        <v>42370</v>
      </c>
      <c r="E32" s="3">
        <v>1077109</v>
      </c>
      <c r="F32" s="1">
        <v>42370</v>
      </c>
      <c r="G32" s="3">
        <v>1002784</v>
      </c>
      <c r="H32" s="3"/>
      <c r="I32" s="4">
        <v>42370</v>
      </c>
      <c r="J32" s="3">
        <f t="shared" si="7"/>
        <v>284489</v>
      </c>
      <c r="K32" s="3">
        <f t="shared" si="8"/>
        <v>229417.59999999998</v>
      </c>
      <c r="L32" s="3">
        <f t="shared" si="9"/>
        <v>155095.90000000002</v>
      </c>
      <c r="M32" s="33">
        <f t="shared" si="10"/>
        <v>129393.09999999998</v>
      </c>
      <c r="N32" s="33">
        <f t="shared" si="13"/>
        <v>32972.699999999953</v>
      </c>
      <c r="O32" s="35">
        <f t="shared" si="11"/>
        <v>61821</v>
      </c>
      <c r="P32" s="35">
        <f t="shared" si="12"/>
        <v>28848.300000000047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>
      <c r="B33" s="1">
        <v>42736</v>
      </c>
      <c r="C33" s="3">
        <v>1808576</v>
      </c>
      <c r="D33" s="1">
        <v>42736</v>
      </c>
      <c r="E33" s="3">
        <v>1122490</v>
      </c>
      <c r="F33" s="1">
        <v>42736</v>
      </c>
      <c r="G33" s="3">
        <v>1030313</v>
      </c>
      <c r="H33" s="3"/>
      <c r="I33" s="4">
        <v>42736</v>
      </c>
      <c r="J33" s="3">
        <f t="shared" si="7"/>
        <v>343291</v>
      </c>
      <c r="K33" s="3">
        <f t="shared" si="8"/>
        <v>274798.59999999998</v>
      </c>
      <c r="L33" s="3">
        <f t="shared" si="9"/>
        <v>182624.90000000002</v>
      </c>
      <c r="M33" s="33">
        <f t="shared" si="10"/>
        <v>160666.09999999998</v>
      </c>
      <c r="N33" s="33">
        <f t="shared" si="13"/>
        <v>31273</v>
      </c>
      <c r="O33" s="35">
        <f t="shared" si="11"/>
        <v>58802</v>
      </c>
      <c r="P33" s="35">
        <f t="shared" si="12"/>
        <v>27529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>
      <c r="B34" s="1">
        <v>43101</v>
      </c>
      <c r="C34" s="3">
        <v>1865048</v>
      </c>
      <c r="D34" s="1">
        <v>43101</v>
      </c>
      <c r="E34" s="3">
        <v>1164107</v>
      </c>
      <c r="F34" s="1">
        <v>43101</v>
      </c>
      <c r="G34" s="3">
        <v>1056611</v>
      </c>
      <c r="H34" s="3"/>
      <c r="I34" s="4">
        <v>43101</v>
      </c>
      <c r="J34" s="3">
        <f t="shared" si="7"/>
        <v>399763</v>
      </c>
      <c r="K34" s="3">
        <f t="shared" si="8"/>
        <v>316415.59999999998</v>
      </c>
      <c r="L34" s="3">
        <f t="shared" si="9"/>
        <v>208922.90000000002</v>
      </c>
      <c r="M34" s="33">
        <f t="shared" si="10"/>
        <v>190840.09999999998</v>
      </c>
      <c r="N34" s="33">
        <f t="shared" si="13"/>
        <v>30174</v>
      </c>
      <c r="O34" s="35">
        <f t="shared" si="11"/>
        <v>56472</v>
      </c>
      <c r="P34" s="35">
        <f t="shared" si="12"/>
        <v>26298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>
      <c r="B35" s="1">
        <v>43466</v>
      </c>
      <c r="C35" s="3">
        <v>1918296</v>
      </c>
      <c r="D35" s="1">
        <v>43466</v>
      </c>
      <c r="E35" s="3">
        <v>1202523</v>
      </c>
      <c r="F35" s="1">
        <v>43466</v>
      </c>
      <c r="G35" s="3">
        <v>1081994</v>
      </c>
      <c r="H35" s="3"/>
      <c r="I35" s="4">
        <v>43466</v>
      </c>
      <c r="J35" s="3">
        <f t="shared" si="7"/>
        <v>453011</v>
      </c>
      <c r="K35" s="3">
        <f t="shared" si="8"/>
        <v>354831.6</v>
      </c>
      <c r="L35" s="3">
        <f t="shared" si="9"/>
        <v>234305.90000000002</v>
      </c>
      <c r="M35" s="33">
        <f t="shared" si="10"/>
        <v>218705.09999999998</v>
      </c>
      <c r="N35" s="33">
        <f t="shared" si="13"/>
        <v>27865</v>
      </c>
      <c r="O35" s="35">
        <f t="shared" si="11"/>
        <v>53248</v>
      </c>
      <c r="P35" s="35">
        <f t="shared" si="12"/>
        <v>25383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>
      <c r="B36" s="1">
        <v>43831</v>
      </c>
      <c r="C36" s="3">
        <v>1968353</v>
      </c>
      <c r="D36" s="1">
        <v>43831</v>
      </c>
      <c r="E36" s="3">
        <v>1238177</v>
      </c>
      <c r="F36" s="1">
        <v>43831</v>
      </c>
      <c r="G36" s="3">
        <v>1106836</v>
      </c>
      <c r="H36" s="3"/>
      <c r="I36" s="4">
        <v>43831</v>
      </c>
      <c r="J36" s="3">
        <f t="shared" si="7"/>
        <v>503068</v>
      </c>
      <c r="K36" s="3">
        <f t="shared" si="8"/>
        <v>390485.6</v>
      </c>
      <c r="L36" s="3">
        <f t="shared" si="9"/>
        <v>259147.90000000002</v>
      </c>
      <c r="M36" s="33">
        <f t="shared" si="10"/>
        <v>243920.09999999998</v>
      </c>
      <c r="N36" s="33">
        <f t="shared" si="13"/>
        <v>25215</v>
      </c>
      <c r="O36" s="35">
        <f t="shared" si="11"/>
        <v>50057</v>
      </c>
      <c r="P36" s="35">
        <f t="shared" si="12"/>
        <v>24842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>
      <c r="B37" s="1">
        <v>44197</v>
      </c>
      <c r="C37" s="3">
        <v>2015926</v>
      </c>
      <c r="D37" s="1">
        <v>44197</v>
      </c>
      <c r="E37" s="3">
        <v>1271543</v>
      </c>
      <c r="F37" s="1">
        <v>44197</v>
      </c>
      <c r="G37" s="3">
        <v>1131395</v>
      </c>
      <c r="H37" s="3"/>
      <c r="I37" s="4">
        <v>44197</v>
      </c>
      <c r="J37" s="3">
        <f t="shared" si="7"/>
        <v>550641</v>
      </c>
      <c r="K37" s="3">
        <f t="shared" si="8"/>
        <v>423851.6</v>
      </c>
      <c r="L37" s="3">
        <f t="shared" si="9"/>
        <v>283706.90000000002</v>
      </c>
      <c r="M37" s="33">
        <f t="shared" si="10"/>
        <v>266934.09999999998</v>
      </c>
      <c r="N37" s="33">
        <f t="shared" si="13"/>
        <v>23014</v>
      </c>
      <c r="O37" s="35">
        <f t="shared" si="11"/>
        <v>47573</v>
      </c>
      <c r="P37" s="35">
        <f t="shared" si="12"/>
        <v>24559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>
      <c r="B38" s="1">
        <v>44562</v>
      </c>
      <c r="C38" s="3">
        <v>2061119</v>
      </c>
      <c r="D38" s="1">
        <v>44562</v>
      </c>
      <c r="E38" s="3">
        <v>1302816</v>
      </c>
      <c r="F38" s="1">
        <v>44562</v>
      </c>
      <c r="G38" s="3">
        <v>1155507</v>
      </c>
      <c r="H38" s="3"/>
      <c r="I38" s="4">
        <v>44562</v>
      </c>
      <c r="J38" s="3">
        <f t="shared" si="7"/>
        <v>595834</v>
      </c>
      <c r="K38" s="3">
        <f t="shared" si="8"/>
        <v>455124.6</v>
      </c>
      <c r="L38" s="3">
        <f t="shared" si="9"/>
        <v>307818.90000000002</v>
      </c>
      <c r="M38" s="33">
        <f t="shared" si="10"/>
        <v>288015.09999999998</v>
      </c>
      <c r="N38" s="33">
        <f t="shared" si="13"/>
        <v>21081</v>
      </c>
      <c r="O38" s="35">
        <f t="shared" si="11"/>
        <v>45193</v>
      </c>
      <c r="P38" s="35">
        <f t="shared" si="12"/>
        <v>24112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>
      <c r="B39" s="1">
        <v>44927</v>
      </c>
      <c r="C39" s="3">
        <v>2104482</v>
      </c>
      <c r="D39" s="1">
        <v>44927</v>
      </c>
      <c r="E39" s="3">
        <v>1332404</v>
      </c>
      <c r="F39" s="1">
        <v>44927</v>
      </c>
      <c r="G39" s="3">
        <v>1179641</v>
      </c>
      <c r="H39" s="3"/>
      <c r="I39" s="4">
        <v>44927</v>
      </c>
      <c r="J39" s="3">
        <f t="shared" si="7"/>
        <v>639197</v>
      </c>
      <c r="K39" s="3">
        <f t="shared" si="8"/>
        <v>484712.6</v>
      </c>
      <c r="L39" s="3">
        <f t="shared" si="9"/>
        <v>331952.90000000002</v>
      </c>
      <c r="M39" s="33">
        <f t="shared" si="10"/>
        <v>307244.09999999998</v>
      </c>
      <c r="N39" s="33">
        <f t="shared" si="13"/>
        <v>19229</v>
      </c>
      <c r="O39" s="35">
        <f t="shared" si="11"/>
        <v>43363</v>
      </c>
      <c r="P39" s="35">
        <f t="shared" si="12"/>
        <v>24134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>
      <c r="B40" s="1">
        <v>45292</v>
      </c>
      <c r="C40" s="3">
        <v>2146245</v>
      </c>
      <c r="D40" s="1">
        <v>45292</v>
      </c>
      <c r="E40" s="3">
        <v>1360519</v>
      </c>
      <c r="F40" s="1">
        <v>45292</v>
      </c>
      <c r="G40" s="3">
        <v>1203857</v>
      </c>
      <c r="H40" s="3"/>
      <c r="I40" s="4">
        <v>45292</v>
      </c>
      <c r="J40" s="3">
        <f t="shared" si="7"/>
        <v>680960</v>
      </c>
      <c r="K40" s="3">
        <f t="shared" si="8"/>
        <v>512827.6</v>
      </c>
      <c r="L40" s="3">
        <f t="shared" si="9"/>
        <v>356168.9</v>
      </c>
      <c r="M40" s="33">
        <f t="shared" si="10"/>
        <v>324791.09999999998</v>
      </c>
      <c r="N40" s="33">
        <f t="shared" si="13"/>
        <v>17547</v>
      </c>
      <c r="O40" s="35">
        <f t="shared" si="11"/>
        <v>41763</v>
      </c>
      <c r="P40" s="35">
        <f t="shared" si="12"/>
        <v>24216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>
      <c r="B41" s="1">
        <v>45658</v>
      </c>
      <c r="C41" s="3">
        <v>2186698</v>
      </c>
      <c r="D41" s="1">
        <v>45658</v>
      </c>
      <c r="E41" s="3">
        <v>1387445</v>
      </c>
      <c r="F41" s="1">
        <v>45658</v>
      </c>
      <c r="G41" s="3">
        <v>1228126</v>
      </c>
      <c r="H41" s="3"/>
      <c r="I41" s="4">
        <v>45658</v>
      </c>
      <c r="J41" s="3">
        <f t="shared" si="7"/>
        <v>721413</v>
      </c>
      <c r="K41" s="3">
        <f t="shared" si="8"/>
        <v>539753.6</v>
      </c>
      <c r="L41" s="3">
        <f t="shared" si="9"/>
        <v>380437.9</v>
      </c>
      <c r="M41" s="33">
        <f t="shared" si="10"/>
        <v>340975.1</v>
      </c>
      <c r="N41" s="33">
        <f t="shared" si="13"/>
        <v>16184</v>
      </c>
      <c r="O41" s="35">
        <f t="shared" si="11"/>
        <v>40453</v>
      </c>
      <c r="P41" s="35">
        <f t="shared" si="12"/>
        <v>24269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3"/>
      <c r="N42" s="33"/>
      <c r="O42" s="35"/>
      <c r="P42" s="35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3"/>
      <c r="N43" s="33"/>
      <c r="O43" s="35"/>
      <c r="P43" s="35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>
      <c r="G44" s="5"/>
      <c r="K44" s="3">
        <f>J41-L41</f>
        <v>340975.1</v>
      </c>
      <c r="M44" s="33"/>
      <c r="N44" s="33"/>
      <c r="O44" s="35"/>
      <c r="P44" s="35"/>
      <c r="R44" s="3" t="s">
        <v>54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>
      <c r="A45" t="s">
        <v>6</v>
      </c>
      <c r="G45" t="s">
        <v>1</v>
      </c>
      <c r="H45" t="s">
        <v>43</v>
      </c>
      <c r="I45" t="s">
        <v>44</v>
      </c>
      <c r="J45" t="s">
        <v>46</v>
      </c>
      <c r="M45" s="33"/>
      <c r="N45" s="33"/>
      <c r="O45" s="35" t="s">
        <v>52</v>
      </c>
      <c r="P45" s="35" t="s">
        <v>45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>
      <c r="F46" s="1">
        <v>40918</v>
      </c>
      <c r="G46" s="3">
        <v>8996.7209999999995</v>
      </c>
      <c r="H46" s="3">
        <f>G46</f>
        <v>8996.7209999999995</v>
      </c>
      <c r="I46">
        <v>0</v>
      </c>
      <c r="J46" s="3">
        <f>H46-I46</f>
        <v>8996.7209999999995</v>
      </c>
      <c r="K46" s="3"/>
      <c r="L46" s="3"/>
      <c r="M46" s="33"/>
      <c r="N46" s="3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1:48">
      <c r="F47" s="1">
        <v>41061</v>
      </c>
      <c r="G47" s="3">
        <v>151021.4</v>
      </c>
      <c r="H47" s="3">
        <f>G47-G46</f>
        <v>142024.679</v>
      </c>
      <c r="I47" s="32">
        <f t="shared" ref="I47:I62" si="14">N26+N4</f>
        <v>10109.29999999993</v>
      </c>
      <c r="J47" s="3">
        <f t="shared" ref="J47:J62" si="15">H47-I47</f>
        <v>131915.37900000007</v>
      </c>
      <c r="K47" s="3"/>
      <c r="L47" s="3">
        <f>G47-G46</f>
        <v>142024.679</v>
      </c>
      <c r="M47" s="33"/>
      <c r="N47" s="3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1:48">
      <c r="F48" s="1">
        <v>41062</v>
      </c>
      <c r="G48" s="3">
        <v>151965.70000000001</v>
      </c>
      <c r="H48" s="3">
        <f>G48-G47</f>
        <v>944.30000000001746</v>
      </c>
      <c r="I48" s="32">
        <f t="shared" si="14"/>
        <v>76</v>
      </c>
      <c r="J48" s="3">
        <f t="shared" si="15"/>
        <v>868.30000000001746</v>
      </c>
      <c r="K48" s="3"/>
      <c r="L48" s="3">
        <f t="shared" ref="L48:L62" si="16">G48-G47+L47</f>
        <v>142968.97900000002</v>
      </c>
      <c r="M48" s="33"/>
      <c r="N48" s="3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2:48">
      <c r="F49" s="1">
        <v>41275</v>
      </c>
      <c r="G49" s="3">
        <v>308942.90000000002</v>
      </c>
      <c r="H49" s="3">
        <f>G49-G48</f>
        <v>156977.20000000001</v>
      </c>
      <c r="I49" s="32">
        <f t="shared" si="14"/>
        <v>20933.400000000023</v>
      </c>
      <c r="J49" s="3">
        <f t="shared" si="15"/>
        <v>136043.79999999999</v>
      </c>
      <c r="K49" s="3"/>
      <c r="L49" s="3">
        <f t="shared" si="16"/>
        <v>299946.179</v>
      </c>
      <c r="M49" s="33"/>
      <c r="N49" s="3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2:48">
      <c r="F50" s="1">
        <v>41426</v>
      </c>
      <c r="G50" s="3">
        <v>383865.1</v>
      </c>
      <c r="H50" s="3">
        <f t="shared" ref="H50:H62" si="17">G50-G49</f>
        <v>74922.199999999953</v>
      </c>
      <c r="I50" s="32">
        <f t="shared" si="14"/>
        <v>18665.800000000047</v>
      </c>
      <c r="J50" s="3">
        <f t="shared" si="15"/>
        <v>56256.399999999907</v>
      </c>
      <c r="K50" s="3"/>
      <c r="L50" s="3">
        <f t="shared" si="16"/>
        <v>374868.37899999996</v>
      </c>
      <c r="M50" s="33"/>
      <c r="N50" s="3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2:48">
      <c r="B51" s="3"/>
      <c r="C51" s="3"/>
      <c r="F51" s="1">
        <v>41640</v>
      </c>
      <c r="G51" s="3">
        <v>467674.5</v>
      </c>
      <c r="H51" s="3">
        <f t="shared" si="17"/>
        <v>83809.400000000023</v>
      </c>
      <c r="I51" s="32">
        <f t="shared" si="14"/>
        <v>27670.29999999993</v>
      </c>
      <c r="J51" s="3">
        <f t="shared" si="15"/>
        <v>56139.100000000093</v>
      </c>
      <c r="K51" s="3"/>
      <c r="L51" s="3">
        <f t="shared" si="16"/>
        <v>458677.77899999998</v>
      </c>
      <c r="M51" s="33"/>
      <c r="N51" s="3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2:48">
      <c r="B52" s="3"/>
      <c r="C52" s="3"/>
      <c r="F52" s="1">
        <v>42005</v>
      </c>
      <c r="G52" s="3">
        <v>550275.5</v>
      </c>
      <c r="H52" s="3">
        <f t="shared" si="17"/>
        <v>82601</v>
      </c>
      <c r="I52" s="32">
        <f t="shared" si="14"/>
        <v>43320.600000000093</v>
      </c>
      <c r="J52" s="3">
        <f t="shared" si="15"/>
        <v>39280.399999999907</v>
      </c>
      <c r="K52" s="3"/>
      <c r="L52" s="3">
        <f t="shared" si="16"/>
        <v>541278.77899999998</v>
      </c>
      <c r="M52" s="33"/>
      <c r="N52" s="3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2:48">
      <c r="B53" s="3"/>
      <c r="C53" s="3"/>
      <c r="F53" s="1">
        <v>42370</v>
      </c>
      <c r="G53" s="3">
        <v>606799.4</v>
      </c>
      <c r="H53" s="3">
        <f t="shared" si="17"/>
        <v>56523.900000000023</v>
      </c>
      <c r="I53" s="32">
        <f t="shared" si="14"/>
        <v>37188.699999999953</v>
      </c>
      <c r="J53" s="3">
        <f t="shared" si="15"/>
        <v>19335.20000000007</v>
      </c>
      <c r="K53" s="3"/>
      <c r="L53" s="3">
        <f t="shared" si="16"/>
        <v>597802.679</v>
      </c>
      <c r="M53" s="33"/>
      <c r="N53" s="3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2:48">
      <c r="B54" s="3"/>
      <c r="C54" s="3"/>
      <c r="F54" s="1">
        <v>42736</v>
      </c>
      <c r="G54" s="3">
        <v>651494.30000000005</v>
      </c>
      <c r="H54" s="3">
        <f t="shared" si="17"/>
        <v>44694.900000000023</v>
      </c>
      <c r="I54" s="32">
        <f t="shared" si="14"/>
        <v>34131</v>
      </c>
      <c r="J54" s="3">
        <f t="shared" si="15"/>
        <v>10563.900000000023</v>
      </c>
      <c r="K54" s="3"/>
      <c r="L54" s="3">
        <f t="shared" si="16"/>
        <v>642497.57900000003</v>
      </c>
      <c r="M54" s="33"/>
      <c r="N54" s="3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2:48">
      <c r="B55" s="3"/>
      <c r="C55" s="3"/>
      <c r="F55" s="1">
        <v>43101</v>
      </c>
      <c r="G55" s="3">
        <v>687060.1</v>
      </c>
      <c r="H55" s="3">
        <f t="shared" si="17"/>
        <v>35565.79999999993</v>
      </c>
      <c r="I55" s="32">
        <f t="shared" si="14"/>
        <v>32033</v>
      </c>
      <c r="J55" s="3">
        <f t="shared" si="15"/>
        <v>3532.7999999999302</v>
      </c>
      <c r="K55" s="3"/>
      <c r="L55" s="3">
        <f t="shared" si="16"/>
        <v>678063.37899999996</v>
      </c>
      <c r="M55" s="33"/>
      <c r="N55" s="3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2:48">
      <c r="B56" s="3"/>
      <c r="C56" s="3"/>
      <c r="F56" s="1">
        <v>43466</v>
      </c>
      <c r="G56" s="3">
        <v>717029.1</v>
      </c>
      <c r="H56" s="3">
        <f t="shared" si="17"/>
        <v>29969</v>
      </c>
      <c r="I56" s="32">
        <f t="shared" si="14"/>
        <v>29125</v>
      </c>
      <c r="J56" s="3">
        <f t="shared" si="15"/>
        <v>844</v>
      </c>
      <c r="K56" s="3"/>
      <c r="L56" s="3">
        <f t="shared" si="16"/>
        <v>708032.37899999996</v>
      </c>
      <c r="M56" s="33"/>
      <c r="N56" s="3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2:48">
      <c r="B57" s="3"/>
      <c r="C57" s="3"/>
      <c r="F57" s="1">
        <v>43831</v>
      </c>
      <c r="G57" s="3">
        <v>742133.5</v>
      </c>
      <c r="H57" s="3">
        <f t="shared" si="17"/>
        <v>25104.400000000023</v>
      </c>
      <c r="I57" s="32">
        <f t="shared" si="14"/>
        <v>26225</v>
      </c>
      <c r="J57" s="3">
        <f t="shared" si="15"/>
        <v>-1120.5999999999767</v>
      </c>
      <c r="K57" s="3"/>
      <c r="L57" s="3">
        <f t="shared" si="16"/>
        <v>733136.77899999998</v>
      </c>
      <c r="M57" s="33"/>
      <c r="N57" s="3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2:48">
      <c r="B58" s="3"/>
      <c r="C58" s="3"/>
      <c r="F58" s="1">
        <v>44197</v>
      </c>
      <c r="G58" s="3">
        <v>763206.2</v>
      </c>
      <c r="H58" s="3">
        <f t="shared" si="17"/>
        <v>21072.699999999953</v>
      </c>
      <c r="I58" s="32">
        <f t="shared" si="14"/>
        <v>24002</v>
      </c>
      <c r="J58" s="3">
        <f t="shared" si="15"/>
        <v>-2929.3000000000466</v>
      </c>
      <c r="K58" s="3"/>
      <c r="L58" s="3">
        <f t="shared" si="16"/>
        <v>754209.47899999993</v>
      </c>
      <c r="M58" s="33"/>
      <c r="N58" s="3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2:48">
      <c r="B59" s="3"/>
      <c r="C59" s="3"/>
      <c r="F59" s="1">
        <v>44562</v>
      </c>
      <c r="G59" s="3">
        <v>781815.2</v>
      </c>
      <c r="H59" s="3">
        <f t="shared" si="17"/>
        <v>18609</v>
      </c>
      <c r="I59" s="32">
        <f t="shared" si="14"/>
        <v>22011</v>
      </c>
      <c r="J59" s="3">
        <f t="shared" si="15"/>
        <v>-3402</v>
      </c>
      <c r="K59" s="3"/>
      <c r="L59" s="3">
        <f t="shared" si="16"/>
        <v>772818.47899999993</v>
      </c>
      <c r="M59" s="33"/>
      <c r="N59" s="3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2:48">
      <c r="B60" s="3"/>
      <c r="C60" s="3"/>
      <c r="F60" s="1">
        <v>44927</v>
      </c>
      <c r="G60" s="3">
        <v>798556.4</v>
      </c>
      <c r="H60" s="3">
        <f t="shared" si="17"/>
        <v>16741.20000000007</v>
      </c>
      <c r="I60" s="32">
        <f t="shared" si="14"/>
        <v>20031</v>
      </c>
      <c r="J60" s="3">
        <f t="shared" si="15"/>
        <v>-3289.7999999999302</v>
      </c>
      <c r="K60" s="3"/>
      <c r="L60" s="3">
        <f t="shared" si="16"/>
        <v>789559.679</v>
      </c>
      <c r="M60" s="33"/>
      <c r="N60" s="3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2:48">
      <c r="B61" s="3"/>
      <c r="C61" s="3"/>
      <c r="F61" s="1">
        <v>45292</v>
      </c>
      <c r="G61" s="3">
        <v>813682.3</v>
      </c>
      <c r="H61" s="3">
        <f t="shared" si="17"/>
        <v>15125.900000000023</v>
      </c>
      <c r="I61" s="32">
        <f t="shared" si="14"/>
        <v>18131</v>
      </c>
      <c r="J61" s="3">
        <f t="shared" si="15"/>
        <v>-3005.0999999999767</v>
      </c>
      <c r="K61" s="3"/>
      <c r="L61" s="3">
        <f t="shared" si="16"/>
        <v>804685.57900000003</v>
      </c>
      <c r="M61" s="33"/>
      <c r="N61" s="3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2:48">
      <c r="B62" s="3"/>
      <c r="C62" s="3"/>
      <c r="F62" s="1">
        <v>45658</v>
      </c>
      <c r="G62" s="3">
        <v>827440.8</v>
      </c>
      <c r="H62" s="3">
        <f t="shared" si="17"/>
        <v>13758.5</v>
      </c>
      <c r="I62" s="32">
        <f t="shared" si="14"/>
        <v>16568</v>
      </c>
      <c r="J62" s="3">
        <f t="shared" si="15"/>
        <v>-2809.5</v>
      </c>
      <c r="K62" s="3"/>
      <c r="L62" s="3">
        <f t="shared" si="16"/>
        <v>818444.07900000003</v>
      </c>
      <c r="M62" s="33"/>
      <c r="N62" s="33"/>
      <c r="O62" s="35"/>
      <c r="P62" s="35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2:48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3"/>
      <c r="N63" s="33"/>
      <c r="O63" s="35"/>
      <c r="P63" s="35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2:48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3"/>
      <c r="N64" s="33"/>
      <c r="O64" s="35"/>
      <c r="P64" s="35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</row>
    <row r="65" spans="2:48">
      <c r="B65" s="3"/>
      <c r="C65" s="3"/>
      <c r="F65" s="3"/>
      <c r="G65" s="3"/>
      <c r="H65" s="3"/>
      <c r="I65" s="3"/>
      <c r="J65" s="3"/>
      <c r="K65" s="3"/>
      <c r="L65" s="3"/>
      <c r="M65" s="33"/>
      <c r="N65" s="33"/>
      <c r="O65" s="35"/>
      <c r="P65" s="35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</row>
    <row r="66" spans="2:48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3"/>
      <c r="N66" s="33"/>
      <c r="O66" s="35"/>
      <c r="P66" s="35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</row>
    <row r="67" spans="2:48">
      <c r="B67" s="3"/>
      <c r="C67" s="3"/>
      <c r="D67" s="3"/>
      <c r="E67" s="3"/>
      <c r="F67" s="3"/>
      <c r="G67" s="3"/>
      <c r="H67" s="3"/>
      <c r="I67" s="3"/>
      <c r="J67" s="3" t="s">
        <v>8</v>
      </c>
      <c r="K67" s="3" t="s">
        <v>9</v>
      </c>
      <c r="L67" s="3"/>
      <c r="M67" s="33"/>
      <c r="N67" s="33"/>
      <c r="O67" s="35"/>
      <c r="P67" s="35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</row>
    <row r="68" spans="2:48">
      <c r="B68" s="3"/>
      <c r="C68" s="3"/>
      <c r="D68" s="3"/>
      <c r="E68" s="3"/>
      <c r="F68" s="3"/>
      <c r="G68" s="3"/>
      <c r="H68" s="3"/>
      <c r="I68" s="3" t="s">
        <v>2</v>
      </c>
      <c r="J68" s="3">
        <f>J41+J19</f>
        <v>1268413</v>
      </c>
      <c r="K68" s="3">
        <v>0</v>
      </c>
      <c r="L68" s="3"/>
      <c r="M68" s="33"/>
      <c r="N68" s="33"/>
      <c r="O68" s="35"/>
      <c r="P68" s="35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</row>
    <row r="69" spans="2:48">
      <c r="B69" s="3"/>
      <c r="C69" s="3"/>
      <c r="D69" s="3"/>
      <c r="E69" s="3"/>
      <c r="F69" s="1"/>
      <c r="G69" s="3"/>
      <c r="H69" s="3"/>
      <c r="I69" s="3" t="s">
        <v>7</v>
      </c>
      <c r="J69" s="3">
        <f>K41+K19</f>
        <v>1018049.6</v>
      </c>
      <c r="K69" s="3">
        <f>J69-J68</f>
        <v>-250363.40000000002</v>
      </c>
      <c r="L69" s="3"/>
      <c r="M69" s="33"/>
      <c r="N69" s="33"/>
      <c r="O69" s="35"/>
      <c r="P69" s="35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</row>
    <row r="70" spans="2:48">
      <c r="B70" s="3"/>
      <c r="C70" s="3"/>
      <c r="F70" s="1"/>
      <c r="G70" s="3"/>
      <c r="H70" s="3"/>
      <c r="I70" s="3" t="s">
        <v>6</v>
      </c>
      <c r="J70" s="3">
        <f>L41+L19+G62</f>
        <v>1715632.7000000002</v>
      </c>
      <c r="K70" s="3">
        <f>J70-J68</f>
        <v>447219.70000000019</v>
      </c>
      <c r="L70" s="3"/>
      <c r="M70" s="33"/>
      <c r="N70" s="33"/>
      <c r="O70" s="35"/>
      <c r="P70" s="35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</row>
    <row r="71" spans="2:48">
      <c r="B71" s="3"/>
      <c r="C71" s="3"/>
      <c r="D71" s="3"/>
      <c r="E71" s="3"/>
      <c r="F71" s="1"/>
      <c r="G71" s="3"/>
      <c r="H71" s="3"/>
      <c r="I71" s="3"/>
      <c r="J71" s="3"/>
      <c r="K71" s="3"/>
      <c r="L71" s="3"/>
      <c r="M71" s="33"/>
      <c r="N71" s="33"/>
      <c r="O71" s="35"/>
      <c r="P71" s="35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2:48">
      <c r="B72" s="3"/>
      <c r="C72" s="3"/>
      <c r="D72" s="3"/>
      <c r="E72" s="3"/>
      <c r="F72" s="1"/>
      <c r="G72" s="3"/>
      <c r="H72" s="3"/>
      <c r="I72" s="3"/>
      <c r="J72" s="3"/>
      <c r="K72" s="3"/>
      <c r="L72" s="3"/>
      <c r="M72" s="33"/>
      <c r="N72" s="33"/>
      <c r="O72" s="35"/>
      <c r="P72" s="35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2:48">
      <c r="B73" s="3"/>
      <c r="C73" s="3"/>
      <c r="D73" s="3"/>
      <c r="E73" s="3"/>
      <c r="F73" s="1"/>
      <c r="G73" s="3"/>
      <c r="H73" s="3"/>
      <c r="I73" s="3"/>
      <c r="J73" s="3"/>
      <c r="K73" s="3"/>
      <c r="L73" s="3"/>
      <c r="M73" s="33"/>
      <c r="N73" s="33"/>
      <c r="O73" s="35"/>
      <c r="P73" s="35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2:48">
      <c r="B74" s="3"/>
      <c r="C74" s="3"/>
      <c r="D74" s="3"/>
      <c r="E74" s="3"/>
      <c r="F74" s="1"/>
      <c r="G74" s="3"/>
      <c r="H74" s="3"/>
      <c r="I74" s="3"/>
      <c r="J74" s="3"/>
      <c r="K74" s="3"/>
      <c r="L74" s="3"/>
      <c r="M74" s="33"/>
      <c r="N74" s="33"/>
      <c r="O74" s="35"/>
      <c r="P74" s="35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2:48">
      <c r="B75" s="3"/>
      <c r="C75" s="3"/>
      <c r="D75" s="3"/>
      <c r="E75" s="3"/>
      <c r="F75" s="1"/>
      <c r="G75" s="3"/>
      <c r="H75" s="3"/>
      <c r="I75" s="3"/>
      <c r="J75" s="3"/>
      <c r="K75" s="3"/>
      <c r="L75" s="3"/>
      <c r="M75" s="33"/>
      <c r="N75" s="33"/>
      <c r="O75" s="35"/>
      <c r="P75" s="35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2:48">
      <c r="B76" s="3"/>
      <c r="C76" s="3"/>
      <c r="D76" s="3"/>
      <c r="E76" s="3"/>
      <c r="F76" s="1"/>
      <c r="G76" s="3"/>
      <c r="H76" s="3"/>
      <c r="I76" s="3"/>
      <c r="J76" s="3"/>
      <c r="K76" s="3"/>
      <c r="L76" s="3"/>
      <c r="M76" s="33"/>
      <c r="N76" s="33"/>
      <c r="O76" s="35"/>
      <c r="P76" s="35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2:48">
      <c r="B77" s="3"/>
      <c r="C77" s="3"/>
      <c r="D77" s="3"/>
      <c r="E77" s="3"/>
      <c r="F77" s="1"/>
      <c r="G77" s="3"/>
      <c r="H77" s="3"/>
      <c r="I77" s="3"/>
      <c r="J77" s="3"/>
      <c r="K77" s="3"/>
      <c r="L77" s="3"/>
      <c r="M77" s="33"/>
      <c r="N77" s="33"/>
      <c r="O77" s="35"/>
      <c r="P77" s="35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2:48">
      <c r="B78" s="3"/>
      <c r="C78" s="3"/>
      <c r="D78" s="3"/>
      <c r="E78" s="3"/>
      <c r="F78" s="1"/>
      <c r="G78" s="3"/>
      <c r="H78" s="3"/>
      <c r="I78" s="3"/>
      <c r="J78" s="3"/>
      <c r="K78" s="3"/>
      <c r="L78" s="3"/>
      <c r="M78" s="33"/>
      <c r="N78" s="33"/>
      <c r="O78" s="35"/>
      <c r="P78" s="35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2:48">
      <c r="B79" s="3"/>
      <c r="C79" s="3"/>
      <c r="D79" s="3"/>
      <c r="E79" s="3"/>
      <c r="F79" s="1"/>
      <c r="G79" s="3"/>
      <c r="H79" s="3"/>
      <c r="I79" s="3"/>
      <c r="J79" s="3"/>
      <c r="K79" s="3"/>
      <c r="L79" s="3"/>
      <c r="M79" s="33"/>
      <c r="N79" s="33"/>
      <c r="O79" s="35"/>
      <c r="P79" s="35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2:48">
      <c r="B80" s="3"/>
      <c r="C80" s="3"/>
      <c r="D80" s="3"/>
      <c r="E80" s="3"/>
      <c r="F80" s="1"/>
      <c r="G80" s="3"/>
      <c r="H80" s="3"/>
      <c r="I80" s="3"/>
      <c r="J80" s="3"/>
      <c r="K80" s="3"/>
      <c r="L80" s="3"/>
      <c r="M80" s="33"/>
      <c r="N80" s="33"/>
      <c r="O80" s="35"/>
      <c r="P80" s="35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2:48">
      <c r="B81" s="3"/>
      <c r="C81" s="3"/>
      <c r="D81" s="3"/>
      <c r="E81" s="3"/>
      <c r="F81" s="1"/>
      <c r="G81" s="3"/>
      <c r="H81" s="3"/>
      <c r="I81" s="3"/>
      <c r="J81" s="3"/>
      <c r="K81" s="3"/>
      <c r="L81" s="3"/>
      <c r="M81" s="33"/>
      <c r="N81" s="33"/>
      <c r="O81" s="35"/>
      <c r="P81" s="35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2:48">
      <c r="B82" s="3"/>
      <c r="C82" s="3"/>
      <c r="D82" s="3"/>
      <c r="E82" s="3"/>
      <c r="F82" s="1"/>
      <c r="G82" s="3"/>
      <c r="H82" s="3"/>
      <c r="I82" s="3"/>
      <c r="J82" s="3"/>
      <c r="K82" s="3"/>
      <c r="L82" s="3"/>
      <c r="M82" s="33"/>
      <c r="N82" s="33"/>
      <c r="O82" s="35"/>
      <c r="P82" s="35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2:48">
      <c r="B83" s="3"/>
      <c r="C83" s="3"/>
      <c r="D83" s="3"/>
      <c r="E83" s="3"/>
      <c r="F83" s="1"/>
      <c r="G83" s="3"/>
      <c r="H83" s="3"/>
      <c r="I83" s="3"/>
      <c r="J83" s="3"/>
      <c r="K83" s="3"/>
      <c r="L83" s="3"/>
      <c r="M83" s="33"/>
      <c r="N83" s="33"/>
      <c r="O83" s="35"/>
      <c r="P83" s="35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2:48">
      <c r="B84" s="3"/>
      <c r="C84" s="3"/>
      <c r="D84" s="3"/>
      <c r="E84" s="3"/>
      <c r="F84" s="1"/>
      <c r="G84" s="3"/>
      <c r="H84" s="3"/>
      <c r="I84" s="3"/>
      <c r="J84" s="3"/>
      <c r="K84" s="3"/>
      <c r="L84" s="3"/>
      <c r="M84" s="33"/>
      <c r="N84" s="33"/>
      <c r="O84" s="35"/>
      <c r="P84" s="35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2:48">
      <c r="B85" s="3"/>
      <c r="C85" s="3"/>
      <c r="D85" s="3"/>
      <c r="E85" s="3"/>
      <c r="F85" s="1"/>
      <c r="G85" s="3"/>
      <c r="H85" s="3"/>
      <c r="I85" s="3"/>
      <c r="J85" s="3"/>
      <c r="K85" s="3"/>
      <c r="L85" s="3"/>
      <c r="M85" s="33"/>
      <c r="N85" s="33"/>
      <c r="O85" s="35"/>
      <c r="P85" s="35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2:48">
      <c r="B86" s="3"/>
      <c r="C86" s="3"/>
      <c r="D86" s="3"/>
      <c r="E86" s="3"/>
      <c r="F86" s="1"/>
      <c r="G86" s="3"/>
      <c r="H86" s="3"/>
      <c r="I86" s="3"/>
      <c r="J86" s="3"/>
      <c r="K86" s="3"/>
      <c r="L86" s="3"/>
      <c r="M86" s="33"/>
      <c r="N86" s="33"/>
      <c r="O86" s="35"/>
      <c r="P86" s="35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2:48">
      <c r="B87" s="3"/>
      <c r="C87" s="3"/>
      <c r="D87" s="3"/>
      <c r="E87" s="3"/>
      <c r="F87" s="1"/>
      <c r="G87" s="3"/>
      <c r="H87" s="3"/>
      <c r="I87" s="3"/>
      <c r="J87" s="3"/>
      <c r="K87" s="3"/>
      <c r="L87" s="3"/>
      <c r="M87" s="33"/>
      <c r="N87" s="33"/>
      <c r="O87" s="35"/>
      <c r="P87" s="35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2:48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3"/>
      <c r="N88" s="33"/>
      <c r="O88" s="35"/>
      <c r="P88" s="35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2:48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3"/>
      <c r="N89" s="33"/>
      <c r="O89" s="35"/>
      <c r="P89" s="35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2:48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3"/>
      <c r="N90" s="33"/>
      <c r="O90" s="35"/>
      <c r="P90" s="35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2:48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3"/>
      <c r="N91" s="33"/>
      <c r="O91" s="35"/>
      <c r="P91" s="35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2:48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3"/>
      <c r="N92" s="33"/>
      <c r="O92" s="35"/>
      <c r="P92" s="35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2:48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3"/>
      <c r="N93" s="33"/>
      <c r="O93" s="35"/>
      <c r="P93" s="35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2:48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3"/>
      <c r="N94" s="33"/>
      <c r="O94" s="35"/>
      <c r="P94" s="35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2:48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3"/>
      <c r="N95" s="33"/>
      <c r="O95" s="35"/>
      <c r="P95" s="35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2:48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3"/>
      <c r="N96" s="33"/>
      <c r="O96" s="35"/>
      <c r="P96" s="35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2:48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3"/>
      <c r="N97" s="33"/>
      <c r="O97" s="35"/>
      <c r="P97" s="35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2:48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3"/>
      <c r="N98" s="33"/>
      <c r="O98" s="35"/>
      <c r="P98" s="35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spans="2:48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3"/>
      <c r="N99" s="33"/>
      <c r="O99" s="35"/>
      <c r="P99" s="35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spans="2:48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3"/>
      <c r="N100" s="33"/>
      <c r="O100" s="35"/>
      <c r="P100" s="35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2:48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3"/>
      <c r="N101" s="33"/>
      <c r="O101" s="35"/>
      <c r="P101" s="35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2:48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3"/>
      <c r="N102" s="33"/>
      <c r="O102" s="35"/>
      <c r="P102" s="35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</sheetData>
  <pageMargins left="0.7" right="0.7" top="0.75" bottom="0.75" header="0.3" footer="0.3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31" workbookViewId="0">
      <selection activeCell="N47" sqref="N47"/>
    </sheetView>
  </sheetViews>
  <sheetFormatPr baseColWidth="10" defaultRowHeight="14" x14ac:dyDescent="0"/>
  <cols>
    <col min="2" max="2" width="21" customWidth="1"/>
    <col min="3" max="3" width="20.83203125" customWidth="1"/>
    <col min="4" max="4" width="13.1640625" customWidth="1"/>
    <col min="5" max="5" width="17.83203125" customWidth="1"/>
    <col min="9" max="10" width="19.33203125" customWidth="1"/>
  </cols>
  <sheetData>
    <row r="1" spans="1:20" ht="15">
      <c r="A1" s="27" t="s">
        <v>36</v>
      </c>
      <c r="B1" s="27"/>
      <c r="C1" s="28"/>
      <c r="D1" s="28"/>
      <c r="E1" s="28"/>
      <c r="F1" s="28"/>
      <c r="G1" s="28"/>
      <c r="H1" s="22"/>
      <c r="I1" s="22"/>
      <c r="J1" s="22"/>
    </row>
    <row r="2" spans="1:20" ht="15">
      <c r="A2" s="28" t="s">
        <v>35</v>
      </c>
      <c r="B2" s="28"/>
      <c r="C2" s="24">
        <v>100</v>
      </c>
      <c r="D2" s="28" t="s">
        <v>31</v>
      </c>
      <c r="E2" s="28" t="s">
        <v>34</v>
      </c>
      <c r="F2" s="28">
        <v>0.1589873</v>
      </c>
      <c r="G2" s="28" t="s">
        <v>33</v>
      </c>
      <c r="H2" s="22" t="s">
        <v>34</v>
      </c>
      <c r="I2" s="22">
        <v>0.1589873</v>
      </c>
      <c r="J2" s="22" t="s">
        <v>33</v>
      </c>
    </row>
    <row r="3" spans="1:20" ht="15">
      <c r="A3" s="28" t="s">
        <v>32</v>
      </c>
      <c r="B3" s="28"/>
      <c r="C3" s="26">
        <v>0</v>
      </c>
      <c r="D3" s="28" t="s">
        <v>31</v>
      </c>
      <c r="E3" s="28" t="s">
        <v>30</v>
      </c>
      <c r="F3" s="28">
        <v>6.2898105700000002</v>
      </c>
      <c r="G3" s="28" t="s">
        <v>29</v>
      </c>
      <c r="H3" s="22" t="s">
        <v>30</v>
      </c>
      <c r="I3" s="22">
        <v>6.2898105697750699</v>
      </c>
      <c r="J3" s="22" t="s">
        <v>29</v>
      </c>
    </row>
    <row r="4" spans="1:20" ht="15">
      <c r="A4" s="28" t="s">
        <v>22</v>
      </c>
      <c r="B4" s="28"/>
      <c r="C4" s="25">
        <v>0.08</v>
      </c>
      <c r="D4" s="28" t="s">
        <v>28</v>
      </c>
      <c r="E4" s="28"/>
      <c r="F4" s="28"/>
      <c r="G4" s="28"/>
      <c r="H4" s="22"/>
      <c r="I4" s="22"/>
      <c r="J4" s="22"/>
    </row>
    <row r="5" spans="1:20" ht="15">
      <c r="A5" s="28"/>
      <c r="B5" s="28"/>
      <c r="C5" s="25"/>
      <c r="D5" s="28"/>
      <c r="E5" s="28"/>
      <c r="F5" s="28"/>
      <c r="G5" s="28"/>
      <c r="H5" s="22"/>
      <c r="I5" s="22"/>
      <c r="J5" s="22"/>
    </row>
    <row r="6" spans="1:20" ht="15">
      <c r="Q6" s="28"/>
      <c r="R6" s="28"/>
      <c r="S6" s="25"/>
      <c r="T6" s="28"/>
    </row>
    <row r="7" spans="1:20" ht="15">
      <c r="Q7" s="28"/>
      <c r="R7" s="28"/>
      <c r="S7" s="25"/>
      <c r="T7" s="28"/>
    </row>
    <row r="8" spans="1:20" ht="15">
      <c r="Q8" s="28"/>
      <c r="R8" s="28"/>
      <c r="S8" s="25"/>
      <c r="T8" s="28"/>
    </row>
    <row r="9" spans="1:20" ht="15">
      <c r="A9" t="s">
        <v>16</v>
      </c>
      <c r="B9">
        <v>2011</v>
      </c>
      <c r="C9">
        <v>2012</v>
      </c>
      <c r="D9">
        <v>2013</v>
      </c>
      <c r="E9">
        <v>2014</v>
      </c>
      <c r="F9">
        <v>2015</v>
      </c>
      <c r="G9">
        <v>2016</v>
      </c>
      <c r="H9">
        <v>2017</v>
      </c>
      <c r="I9">
        <v>2018</v>
      </c>
      <c r="J9">
        <v>2019</v>
      </c>
      <c r="K9">
        <v>2020</v>
      </c>
      <c r="L9">
        <v>2021</v>
      </c>
      <c r="M9">
        <v>2022</v>
      </c>
      <c r="N9">
        <v>2023</v>
      </c>
      <c r="O9">
        <v>2024</v>
      </c>
      <c r="Q9" s="28" t="s">
        <v>27</v>
      </c>
      <c r="R9" s="28"/>
      <c r="S9" s="24">
        <v>5.5</v>
      </c>
      <c r="T9" s="28" t="s">
        <v>26</v>
      </c>
    </row>
    <row r="10" spans="1:20" ht="15">
      <c r="A10" t="s">
        <v>17</v>
      </c>
      <c r="B10" s="20">
        <v>-400000000</v>
      </c>
      <c r="C10" s="20"/>
      <c r="Q10" s="28"/>
      <c r="R10" s="28"/>
      <c r="S10" s="29"/>
    </row>
    <row r="11" spans="1:20" ht="15">
      <c r="A11" t="s">
        <v>18</v>
      </c>
      <c r="C11" s="3">
        <f>H27+H29+H28+H30</f>
        <v>821743809.62770045</v>
      </c>
      <c r="D11">
        <f>H30+H31</f>
        <v>568782343.32700658</v>
      </c>
      <c r="E11">
        <f>H33</f>
        <v>116182915.87227735</v>
      </c>
      <c r="F11">
        <f>H34</f>
        <v>57189333.992873549</v>
      </c>
      <c r="G11">
        <f>H35</f>
        <v>31245728.276268989</v>
      </c>
      <c r="H11">
        <f>H36</f>
        <v>10449257.268092338</v>
      </c>
      <c r="I11">
        <f>H37</f>
        <v>2496369.2069378705</v>
      </c>
      <c r="J11">
        <f>H38</f>
        <v>-3314492.1010598568</v>
      </c>
      <c r="K11">
        <f>H39</f>
        <v>-8664234.9737952836</v>
      </c>
      <c r="L11">
        <f>H40</f>
        <v>-10062379.196685586</v>
      </c>
      <c r="M11">
        <f>H41</f>
        <v>-9730515.8969005086</v>
      </c>
      <c r="N11">
        <f>H42</f>
        <v>-8888434.9570721984</v>
      </c>
      <c r="O11">
        <f>H43</f>
        <v>-8309892.5200141538</v>
      </c>
      <c r="Q11" s="31"/>
      <c r="R11" s="31"/>
      <c r="S11" s="31"/>
      <c r="T11" s="28"/>
    </row>
    <row r="12" spans="1:20" ht="15">
      <c r="A12" t="s">
        <v>61</v>
      </c>
      <c r="B12" s="3">
        <f>1/((1+0.08)^B$19)</f>
        <v>1</v>
      </c>
      <c r="C12" s="3">
        <f t="shared" ref="C12:O12" si="0">1/((1+0.08)^C$19)</f>
        <v>0.92592592592592582</v>
      </c>
      <c r="D12" s="3">
        <f t="shared" si="0"/>
        <v>0.85733882030178321</v>
      </c>
      <c r="E12" s="3">
        <f t="shared" si="0"/>
        <v>0.79383224102016958</v>
      </c>
      <c r="F12" s="3">
        <f t="shared" si="0"/>
        <v>0.73502985279645328</v>
      </c>
      <c r="G12" s="3">
        <f t="shared" si="0"/>
        <v>0.68058319703375303</v>
      </c>
      <c r="H12" s="3">
        <f t="shared" si="0"/>
        <v>0.63016962688310452</v>
      </c>
      <c r="I12" s="3">
        <f t="shared" si="0"/>
        <v>0.58349039526213387</v>
      </c>
      <c r="J12" s="3">
        <f t="shared" si="0"/>
        <v>0.54026888450197574</v>
      </c>
      <c r="K12" s="3">
        <f t="shared" si="0"/>
        <v>0.50024896713145905</v>
      </c>
      <c r="L12" s="3">
        <f t="shared" si="0"/>
        <v>0.46319348808468425</v>
      </c>
      <c r="M12" s="3">
        <f t="shared" si="0"/>
        <v>0.42888285933767062</v>
      </c>
      <c r="N12" s="3">
        <f t="shared" si="0"/>
        <v>0.39711375864599124</v>
      </c>
      <c r="O12" s="3">
        <f t="shared" si="0"/>
        <v>0.36769792467221413</v>
      </c>
      <c r="Q12" s="31"/>
      <c r="R12" s="31"/>
      <c r="S12" s="31"/>
      <c r="T12" s="28"/>
    </row>
    <row r="13" spans="1:20">
      <c r="A13" t="s">
        <v>19</v>
      </c>
      <c r="C13" s="20"/>
      <c r="D13" s="20"/>
      <c r="E13" s="20"/>
      <c r="F13" s="20"/>
      <c r="G13" s="20"/>
      <c r="H13" s="20"/>
      <c r="I13" s="20"/>
      <c r="Q13" s="31"/>
      <c r="R13" s="31"/>
      <c r="S13" s="31"/>
      <c r="T13" s="31"/>
    </row>
    <row r="14" spans="1:20">
      <c r="A14" t="s">
        <v>20</v>
      </c>
      <c r="C14">
        <f>0.78*C11</f>
        <v>640960171.50960636</v>
      </c>
      <c r="D14">
        <f t="shared" ref="D14:O14" si="1">0.78*D11</f>
        <v>443650227.79506516</v>
      </c>
      <c r="E14">
        <f t="shared" si="1"/>
        <v>90622674.380376339</v>
      </c>
      <c r="F14">
        <f t="shared" si="1"/>
        <v>44607680.514441371</v>
      </c>
      <c r="G14">
        <f t="shared" si="1"/>
        <v>24371668.055489812</v>
      </c>
      <c r="H14">
        <f t="shared" si="1"/>
        <v>8150420.6691120239</v>
      </c>
      <c r="I14">
        <f t="shared" si="1"/>
        <v>1947167.981411539</v>
      </c>
      <c r="J14">
        <f t="shared" si="1"/>
        <v>-2585303.8388266885</v>
      </c>
      <c r="K14">
        <f t="shared" si="1"/>
        <v>-6758103.279560321</v>
      </c>
      <c r="L14">
        <f t="shared" si="1"/>
        <v>-7848655.7734147571</v>
      </c>
      <c r="M14">
        <f t="shared" si="1"/>
        <v>-7589802.3995823972</v>
      </c>
      <c r="N14">
        <f t="shared" si="1"/>
        <v>-6932979.2665163148</v>
      </c>
      <c r="O14">
        <f t="shared" si="1"/>
        <v>-6481716.1656110398</v>
      </c>
    </row>
    <row r="16" spans="1:20">
      <c r="A16" s="21" t="s">
        <v>21</v>
      </c>
      <c r="B16" s="21">
        <f>B$10*(1/(1+0.08)^B$19)</f>
        <v>-400000000</v>
      </c>
      <c r="C16" s="39">
        <f>C10+C11+C13</f>
        <v>821743809.62770045</v>
      </c>
      <c r="D16" s="21">
        <f>D11+D13</f>
        <v>568782343.32700658</v>
      </c>
      <c r="E16" s="39">
        <f t="shared" ref="E16" si="2">E10+E11+E13</f>
        <v>116182915.87227735</v>
      </c>
      <c r="F16" s="21">
        <f t="shared" ref="F16" si="3">F11+F13</f>
        <v>57189333.992873549</v>
      </c>
      <c r="G16" s="39">
        <f t="shared" ref="G16" si="4">G10+G11+G13</f>
        <v>31245728.276268989</v>
      </c>
      <c r="H16" s="21">
        <f t="shared" ref="H16" si="5">H11+H13</f>
        <v>10449257.268092338</v>
      </c>
      <c r="I16" s="39">
        <f t="shared" ref="I16" si="6">I10+I11+I13</f>
        <v>2496369.2069378705</v>
      </c>
      <c r="J16" s="21">
        <f t="shared" ref="J16" si="7">J11+J13</f>
        <v>-3314492.1010598568</v>
      </c>
      <c r="K16" s="39">
        <f t="shared" ref="K16" si="8">K10+K11+K13</f>
        <v>-8664234.9737952836</v>
      </c>
      <c r="L16" s="21">
        <f t="shared" ref="L16" si="9">L11+L13</f>
        <v>-10062379.196685586</v>
      </c>
      <c r="M16" s="39">
        <f t="shared" ref="M16" si="10">M10+M11+M13</f>
        <v>-9730515.8969005086</v>
      </c>
      <c r="N16" s="21">
        <f t="shared" ref="N16" si="11">N11+N13</f>
        <v>-8888434.9570721984</v>
      </c>
      <c r="O16" s="39">
        <f t="shared" ref="O16" si="12">O10+O11+O13</f>
        <v>-8309892.5200141538</v>
      </c>
    </row>
    <row r="18" spans="1:20">
      <c r="A18" t="s">
        <v>22</v>
      </c>
      <c r="B18">
        <v>0.08</v>
      </c>
      <c r="C18">
        <v>0.08</v>
      </c>
      <c r="D18">
        <v>0.08</v>
      </c>
      <c r="E18">
        <v>0.08</v>
      </c>
      <c r="F18">
        <v>0.08</v>
      </c>
      <c r="G18">
        <v>0.08</v>
      </c>
      <c r="H18">
        <v>0.08</v>
      </c>
      <c r="I18">
        <v>0.08</v>
      </c>
      <c r="J18">
        <v>0.08</v>
      </c>
      <c r="K18">
        <v>0.08</v>
      </c>
      <c r="L18">
        <v>0.08</v>
      </c>
      <c r="M18">
        <v>0.08</v>
      </c>
      <c r="N18">
        <v>0.08</v>
      </c>
      <c r="O18">
        <v>0.08</v>
      </c>
    </row>
    <row r="19" spans="1:20">
      <c r="A19" s="40" t="s">
        <v>23</v>
      </c>
      <c r="B19" s="40">
        <v>0</v>
      </c>
      <c r="C19" s="40">
        <v>1</v>
      </c>
      <c r="D19" s="40">
        <v>2</v>
      </c>
      <c r="E19" s="40">
        <v>3</v>
      </c>
      <c r="F19" s="40">
        <v>4</v>
      </c>
      <c r="G19" s="40">
        <v>5</v>
      </c>
      <c r="H19" s="40">
        <v>6</v>
      </c>
      <c r="I19" s="40">
        <v>7</v>
      </c>
      <c r="J19" s="40">
        <v>8</v>
      </c>
      <c r="K19" s="40">
        <v>9</v>
      </c>
      <c r="L19" s="40">
        <v>10</v>
      </c>
      <c r="M19" s="40">
        <v>11</v>
      </c>
      <c r="N19" s="40">
        <v>12</v>
      </c>
      <c r="O19" s="40">
        <v>13</v>
      </c>
      <c r="P19" s="40"/>
      <c r="Q19" s="40"/>
      <c r="R19" s="40"/>
      <c r="S19" s="40"/>
      <c r="T19" s="40"/>
    </row>
    <row r="20" spans="1:20">
      <c r="A20" t="s">
        <v>24</v>
      </c>
      <c r="B20">
        <f>B$10*(1/(1+0.08)^B$19)</f>
        <v>-400000000</v>
      </c>
      <c r="C20" s="3">
        <f t="shared" ref="C20:N20" si="13">C$16*(1/(1+0.08)^C$19)</f>
        <v>760873897.80342627</v>
      </c>
      <c r="D20" s="3">
        <f t="shared" si="13"/>
        <v>487639183.23645967</v>
      </c>
      <c r="E20" s="3">
        <f t="shared" si="13"/>
        <v>92229744.475147754</v>
      </c>
      <c r="F20" s="3">
        <f t="shared" si="13"/>
        <v>42035867.746309049</v>
      </c>
      <c r="G20" s="3">
        <f t="shared" si="13"/>
        <v>21265317.643911086</v>
      </c>
      <c r="H20" s="3">
        <f t="shared" si="13"/>
        <v>6584804.5538393166</v>
      </c>
      <c r="I20" s="3">
        <f t="shared" si="13"/>
        <v>1456607.4552763978</v>
      </c>
      <c r="J20" s="3">
        <f t="shared" si="13"/>
        <v>-1790716.9501302186</v>
      </c>
      <c r="K20" s="3">
        <f t="shared" si="13"/>
        <v>-4334274.5966253551</v>
      </c>
      <c r="L20" s="3">
        <f t="shared" si="13"/>
        <v>-4660828.5185435601</v>
      </c>
      <c r="M20" s="3">
        <f t="shared" si="13"/>
        <v>-4173251.4806933487</v>
      </c>
      <c r="N20" s="3">
        <f t="shared" si="13"/>
        <v>-3529719.8142833607</v>
      </c>
      <c r="O20" s="3">
        <f>O$16*(1/(1+0.08)^O$19)</f>
        <v>-3055530.23385836</v>
      </c>
    </row>
    <row r="22" spans="1:20" ht="15" thickBot="1">
      <c r="A22" t="s">
        <v>25</v>
      </c>
      <c r="B22" s="41">
        <f>B20+C20+D20+E20+F20+G20+H20+I20+J20+K20+L20+M20+N20+O20</f>
        <v>990541101.32023537</v>
      </c>
    </row>
    <row r="23" spans="1:20" ht="15" thickTop="1"/>
    <row r="26" spans="1:20">
      <c r="A26" t="s">
        <v>40</v>
      </c>
      <c r="B26" t="s">
        <v>38</v>
      </c>
      <c r="C26" t="s">
        <v>39</v>
      </c>
      <c r="E26" s="3" t="s">
        <v>53</v>
      </c>
      <c r="F26" t="s">
        <v>65</v>
      </c>
      <c r="G26" t="s">
        <v>56</v>
      </c>
      <c r="H26" t="s">
        <v>57</v>
      </c>
      <c r="I26" t="s">
        <v>62</v>
      </c>
      <c r="J26" t="s">
        <v>63</v>
      </c>
      <c r="K26" t="s">
        <v>58</v>
      </c>
    </row>
    <row r="27" spans="1:20">
      <c r="A27" s="1">
        <v>40918</v>
      </c>
      <c r="E27" s="3">
        <f>8996.72</f>
        <v>8996.7199999999993</v>
      </c>
      <c r="F27">
        <f>E27*$F$3*0.95</f>
        <v>53758.281323763877</v>
      </c>
      <c r="G27">
        <f>F27*90</f>
        <v>4838245.3191387486</v>
      </c>
      <c r="H27">
        <f>G27*$S$9</f>
        <v>26610349.255263116</v>
      </c>
      <c r="I27">
        <f>B$20</f>
        <v>-400000000</v>
      </c>
      <c r="J27">
        <f>I27</f>
        <v>-400000000</v>
      </c>
      <c r="K27" t="s">
        <v>59</v>
      </c>
    </row>
    <row r="28" spans="1:20" ht="32">
      <c r="A28" s="1">
        <v>41061</v>
      </c>
      <c r="B28" s="36">
        <f>WOPT!O4+WOPT!O26</f>
        <v>58092</v>
      </c>
      <c r="C28" s="36">
        <f>WOPT!P4+WOPT!P26+WOPT!H47</f>
        <v>190007.37900000007</v>
      </c>
      <c r="E28" s="37">
        <f>'NPV calculation'!C28-'NPV calculation'!B28</f>
        <v>131915.37900000007</v>
      </c>
      <c r="F28">
        <f t="shared" ref="F28:F43" si="14">E28*$F$3*0.95</f>
        <v>788236.60792076867</v>
      </c>
      <c r="G28">
        <f>F28*90</f>
        <v>70941294.712869182</v>
      </c>
      <c r="H28">
        <f t="shared" ref="H28:H43" si="15">G28*$S$9</f>
        <v>390177120.92078048</v>
      </c>
      <c r="I28" s="3">
        <f>C20</f>
        <v>760873897.80342627</v>
      </c>
      <c r="J28" s="3">
        <f>J27+I28</f>
        <v>360873897.80342627</v>
      </c>
      <c r="K28" s="38" t="s">
        <v>60</v>
      </c>
    </row>
    <row r="29" spans="1:20">
      <c r="A29" s="1">
        <v>41062</v>
      </c>
      <c r="B29" s="36">
        <f>WOPT!O5+WOPT!O27</f>
        <v>399</v>
      </c>
      <c r="C29" s="36">
        <f>WOPT!P5+WOPT!P27+WOPT!H48</f>
        <v>1267.3000000000175</v>
      </c>
      <c r="E29" s="37">
        <f>'NPV calculation'!C29-'NPV calculation'!B29</f>
        <v>868.30000000001746</v>
      </c>
      <c r="F29">
        <f t="shared" si="14"/>
        <v>5188.3703920345542</v>
      </c>
      <c r="G29">
        <f>F29*90</f>
        <v>466953.33528310986</v>
      </c>
      <c r="H29">
        <f t="shared" si="15"/>
        <v>2568243.3440571041</v>
      </c>
      <c r="I29" s="3">
        <f>D$20</f>
        <v>487639183.23645967</v>
      </c>
      <c r="J29" s="3">
        <f t="shared" ref="J29:J40" si="16">J28+I29</f>
        <v>848513081.039886</v>
      </c>
    </row>
    <row r="30" spans="1:20">
      <c r="A30" s="1">
        <v>41275</v>
      </c>
      <c r="B30" s="36">
        <f>WOPT!O6+WOPT!O28</f>
        <v>83020</v>
      </c>
      <c r="C30" s="36">
        <f>WOPT!P6+WOPT!P28+WOPT!H49</f>
        <v>219063.8</v>
      </c>
      <c r="E30" s="37">
        <f>'NPV calculation'!C30-'NPV calculation'!B30</f>
        <v>136043.79999999999</v>
      </c>
      <c r="F30">
        <f t="shared" si="14"/>
        <v>812905.24466181768</v>
      </c>
      <c r="G30">
        <f>F30*90</f>
        <v>73161472.019563586</v>
      </c>
      <c r="H30">
        <f t="shared" si="15"/>
        <v>402388096.10759974</v>
      </c>
      <c r="I30" s="3">
        <f>E$20</f>
        <v>92229744.475147754</v>
      </c>
      <c r="J30" s="3">
        <f t="shared" si="16"/>
        <v>940742825.51503372</v>
      </c>
    </row>
    <row r="31" spans="1:20">
      <c r="A31" s="1">
        <v>41426</v>
      </c>
      <c r="B31" s="36">
        <f>WOPT!O7+WOPT!O29</f>
        <v>56284</v>
      </c>
      <c r="C31" s="36">
        <f>WOPT!P7+WOPT!P29+WOPT!H50</f>
        <v>112540.39999999991</v>
      </c>
      <c r="E31" s="37">
        <f>'NPV calculation'!C31-'NPV calculation'!B31</f>
        <v>56256.399999999907</v>
      </c>
      <c r="F31">
        <f t="shared" si="14"/>
        <v>336149.99438264006</v>
      </c>
      <c r="G31">
        <f>F31*90</f>
        <v>30253499.494437605</v>
      </c>
      <c r="H31">
        <f t="shared" si="15"/>
        <v>166394247.21940684</v>
      </c>
      <c r="I31" s="3">
        <f>F$20</f>
        <v>42035867.746309049</v>
      </c>
      <c r="J31" s="3">
        <f t="shared" si="16"/>
        <v>982778693.26134276</v>
      </c>
    </row>
    <row r="32" spans="1:20">
      <c r="A32" s="1">
        <v>41640</v>
      </c>
      <c r="B32" s="36">
        <f>WOPT!O8+WOPT!O30</f>
        <v>75861</v>
      </c>
      <c r="C32" s="36">
        <f>WOPT!P8+WOPT!P30+WOPT!H51</f>
        <v>132000.10000000009</v>
      </c>
      <c r="E32" s="37">
        <f>'NPV calculation'!C32-'NPV calculation'!B32</f>
        <v>56139.100000000093</v>
      </c>
      <c r="F32">
        <f t="shared" si="14"/>
        <v>335449.08934177319</v>
      </c>
      <c r="G32">
        <f>F32*90</f>
        <v>30190418.040759586</v>
      </c>
      <c r="H32">
        <f t="shared" si="15"/>
        <v>166047299.22417772</v>
      </c>
      <c r="I32" s="3">
        <f>G$20</f>
        <v>21265317.643911086</v>
      </c>
      <c r="J32" s="3">
        <f t="shared" si="16"/>
        <v>1004044010.9052539</v>
      </c>
    </row>
    <row r="33" spans="1:14">
      <c r="A33" s="1">
        <v>42005</v>
      </c>
      <c r="B33" s="36">
        <f>WOPT!O9+WOPT!O31</f>
        <v>119867</v>
      </c>
      <c r="C33" s="36">
        <f>WOPT!P9+WOPT!P31+WOPT!H52</f>
        <v>159147.39999999991</v>
      </c>
      <c r="E33" s="37">
        <f>'NPV calculation'!C33-'NPV calculation'!B33</f>
        <v>39280.399999999907</v>
      </c>
      <c r="F33">
        <f t="shared" si="14"/>
        <v>234712.96135813606</v>
      </c>
      <c r="G33">
        <f>F33*90</f>
        <v>21124166.522232246</v>
      </c>
      <c r="H33">
        <f t="shared" si="15"/>
        <v>116182915.87227735</v>
      </c>
      <c r="I33" s="3">
        <f>H$20</f>
        <v>6584804.5538393166</v>
      </c>
      <c r="J33" s="3">
        <f t="shared" si="16"/>
        <v>1010628815.4590932</v>
      </c>
    </row>
    <row r="34" spans="1:14">
      <c r="A34" s="1">
        <v>42370</v>
      </c>
      <c r="B34" s="36">
        <f>WOPT!O10+WOPT!O32</f>
        <v>109911</v>
      </c>
      <c r="C34" s="36">
        <f>WOPT!P10+WOPT!P32+WOPT!H53</f>
        <v>129246.20000000007</v>
      </c>
      <c r="E34" s="37">
        <f>'NPV calculation'!C34-'NPV calculation'!B34</f>
        <v>19335.20000000007</v>
      </c>
      <c r="F34">
        <f t="shared" si="14"/>
        <v>115534.00806641122</v>
      </c>
      <c r="G34">
        <f>F34*90</f>
        <v>10398060.725977009</v>
      </c>
      <c r="H34">
        <f t="shared" si="15"/>
        <v>57189333.992873549</v>
      </c>
      <c r="I34" s="3">
        <f>I$20</f>
        <v>1456607.4552763978</v>
      </c>
      <c r="J34" s="3">
        <f t="shared" si="16"/>
        <v>1012085422.9143696</v>
      </c>
    </row>
    <row r="35" spans="1:14">
      <c r="A35" s="1">
        <v>42736</v>
      </c>
      <c r="B35" s="36">
        <f>WOPT!O11+WOPT!O33</f>
        <v>103766</v>
      </c>
      <c r="C35" s="36">
        <f>WOPT!P11+WOPT!P33+WOPT!H54</f>
        <v>114329.90000000002</v>
      </c>
      <c r="E35" s="37">
        <f>'NPV calculation'!C35-'NPV calculation'!B35</f>
        <v>10563.900000000023</v>
      </c>
      <c r="F35">
        <f t="shared" si="14"/>
        <v>63122.683386401994</v>
      </c>
      <c r="G35">
        <f>F35*90</f>
        <v>5681041.5047761798</v>
      </c>
      <c r="H35">
        <f t="shared" si="15"/>
        <v>31245728.276268989</v>
      </c>
      <c r="I35" s="3">
        <f>J$20</f>
        <v>-1790716.9501302186</v>
      </c>
      <c r="J35" s="3">
        <f t="shared" si="16"/>
        <v>1010294705.9642394</v>
      </c>
    </row>
    <row r="36" spans="1:14">
      <c r="A36" s="1">
        <v>43101</v>
      </c>
      <c r="B36" s="36">
        <f>WOPT!O12+WOPT!O34</f>
        <v>98577</v>
      </c>
      <c r="C36" s="36">
        <f>WOPT!P12+WOPT!P34+WOPT!H55</f>
        <v>102109.79999999993</v>
      </c>
      <c r="E36" s="37">
        <f>'NPV calculation'!C36-'NPV calculation'!B36</f>
        <v>3532.7999999999302</v>
      </c>
      <c r="F36">
        <f t="shared" si="14"/>
        <v>21109.610642610784</v>
      </c>
      <c r="G36">
        <f>F36*90</f>
        <v>1899864.9578349704</v>
      </c>
      <c r="H36">
        <f t="shared" si="15"/>
        <v>10449257.268092338</v>
      </c>
      <c r="I36" s="3">
        <f>K$20</f>
        <v>-4334274.5966253551</v>
      </c>
      <c r="J36" s="3">
        <f t="shared" si="16"/>
        <v>1005960431.367614</v>
      </c>
    </row>
    <row r="37" spans="1:14">
      <c r="A37" s="1">
        <v>43466</v>
      </c>
      <c r="B37" s="36">
        <f>WOPT!O13+WOPT!O35</f>
        <v>93044</v>
      </c>
      <c r="C37" s="36">
        <f>WOPT!P13+WOPT!P35+WOPT!H56</f>
        <v>93888</v>
      </c>
      <c r="E37" s="37">
        <f>'NPV calculation'!C37-'NPV calculation'!B37</f>
        <v>844</v>
      </c>
      <c r="F37">
        <f t="shared" si="14"/>
        <v>5043.1701150260005</v>
      </c>
      <c r="G37">
        <f>F37*90</f>
        <v>453885.31035234005</v>
      </c>
      <c r="H37">
        <f t="shared" si="15"/>
        <v>2496369.2069378705</v>
      </c>
      <c r="I37" s="3">
        <f>L$20</f>
        <v>-4660828.5185435601</v>
      </c>
      <c r="J37" s="3">
        <f t="shared" si="16"/>
        <v>1001299602.8490704</v>
      </c>
    </row>
    <row r="38" spans="1:14">
      <c r="A38" s="1">
        <v>43831</v>
      </c>
      <c r="B38" s="36">
        <f>WOPT!O14+WOPT!O36</f>
        <v>87859</v>
      </c>
      <c r="C38" s="36">
        <f>WOPT!P14+WOPT!P36+WOPT!H57</f>
        <v>86738.400000000023</v>
      </c>
      <c r="E38" s="37">
        <f>'NPV calculation'!C38-'NPV calculation'!B38</f>
        <v>-1120.5999999999767</v>
      </c>
      <c r="F38">
        <f t="shared" si="14"/>
        <v>-6695.9436385047611</v>
      </c>
      <c r="G38">
        <f>F38*90</f>
        <v>-602634.92746542848</v>
      </c>
      <c r="H38">
        <f t="shared" si="15"/>
        <v>-3314492.1010598568</v>
      </c>
      <c r="I38" s="3">
        <f>M$20</f>
        <v>-4173251.4806933487</v>
      </c>
      <c r="J38" s="3">
        <f t="shared" si="16"/>
        <v>997126351.36837709</v>
      </c>
    </row>
    <row r="39" spans="1:14">
      <c r="A39" s="1">
        <v>44197</v>
      </c>
      <c r="B39" s="36">
        <f>WOPT!O15+WOPT!O37</f>
        <v>83715</v>
      </c>
      <c r="C39" s="36">
        <f>WOPT!P15+WOPT!P37+WOPT!H58</f>
        <v>80785.699999999953</v>
      </c>
      <c r="E39" s="37">
        <f>'NPV calculation'!C39-'NPV calculation'!B39</f>
        <v>-2929.3000000000466</v>
      </c>
      <c r="F39">
        <f t="shared" si="14"/>
        <v>-17503.50499756623</v>
      </c>
      <c r="G39">
        <f>F39*90</f>
        <v>-1575315.4497809606</v>
      </c>
      <c r="H39">
        <f t="shared" si="15"/>
        <v>-8664234.9737952836</v>
      </c>
      <c r="I39" s="3">
        <f>N$20</f>
        <v>-3529719.8142833607</v>
      </c>
      <c r="J39" s="3">
        <f t="shared" si="16"/>
        <v>993596631.55409372</v>
      </c>
    </row>
    <row r="40" spans="1:14">
      <c r="A40" s="1">
        <v>44562</v>
      </c>
      <c r="B40" s="36">
        <f>WOPT!O16+WOPT!O38</f>
        <v>79537</v>
      </c>
      <c r="C40" s="36">
        <f>WOPT!P16+WOPT!P38+WOPT!H59</f>
        <v>76135</v>
      </c>
      <c r="E40" s="37">
        <f>'NPV calculation'!C40-'NPV calculation'!B40</f>
        <v>-3402</v>
      </c>
      <c r="F40">
        <f t="shared" si="14"/>
        <v>-20328.038781183001</v>
      </c>
      <c r="G40">
        <f>F40*90</f>
        <v>-1829523.4903064701</v>
      </c>
      <c r="H40">
        <f t="shared" si="15"/>
        <v>-10062379.196685586</v>
      </c>
      <c r="I40" s="3">
        <f>O$20</f>
        <v>-3055530.23385836</v>
      </c>
      <c r="J40" s="3">
        <f t="shared" si="16"/>
        <v>990541101.32023537</v>
      </c>
    </row>
    <row r="41" spans="1:14">
      <c r="A41" s="1">
        <v>44927</v>
      </c>
      <c r="B41" s="36">
        <f>WOPT!O17+WOPT!O39</f>
        <v>75952</v>
      </c>
      <c r="C41" s="36">
        <f>WOPT!P17+WOPT!P39+WOPT!H60</f>
        <v>72662.20000000007</v>
      </c>
      <c r="E41" s="37">
        <f>'NPV calculation'!C41-'NPV calculation'!B41</f>
        <v>-3289.7999999999302</v>
      </c>
      <c r="F41">
        <f t="shared" si="14"/>
        <v>-19657.607872526281</v>
      </c>
      <c r="G41">
        <f>F41*90</f>
        <v>-1769184.7085273652</v>
      </c>
      <c r="H41">
        <f t="shared" si="15"/>
        <v>-9730515.8969005086</v>
      </c>
      <c r="I41" s="3"/>
      <c r="J41" s="3"/>
    </row>
    <row r="42" spans="1:14">
      <c r="A42" s="1">
        <v>45292</v>
      </c>
      <c r="B42" s="36">
        <f>WOPT!O18+WOPT!O40</f>
        <v>72642</v>
      </c>
      <c r="C42" s="36">
        <f>WOPT!P18+WOPT!P40+WOPT!H61</f>
        <v>69636.900000000023</v>
      </c>
      <c r="E42" s="37">
        <f>'NPV calculation'!C42-'NPV calculation'!B42</f>
        <v>-3005.0999999999767</v>
      </c>
      <c r="F42">
        <f t="shared" si="14"/>
        <v>-17956.434256711513</v>
      </c>
      <c r="G42">
        <f>F42*90</f>
        <v>-1616079.083104036</v>
      </c>
      <c r="H42">
        <f t="shared" si="15"/>
        <v>-8888434.9570721984</v>
      </c>
    </row>
    <row r="43" spans="1:14">
      <c r="A43" s="1">
        <v>45658</v>
      </c>
      <c r="B43" s="36">
        <f>WOPT!O19+WOPT!O41</f>
        <v>69887</v>
      </c>
      <c r="C43" s="36">
        <f>WOPT!P19+WOPT!P41+WOPT!H62</f>
        <v>67077.5</v>
      </c>
      <c r="E43" s="37">
        <f>'NPV calculation'!C43-'NPV calculation'!B43</f>
        <v>-2809.5</v>
      </c>
      <c r="F43">
        <f t="shared" si="14"/>
        <v>-16787.66165659425</v>
      </c>
      <c r="G43">
        <f>F43*90</f>
        <v>-1510889.5490934826</v>
      </c>
      <c r="H43">
        <f t="shared" si="15"/>
        <v>-8309892.5200141538</v>
      </c>
      <c r="I43" s="3"/>
    </row>
    <row r="44" spans="1:14">
      <c r="E44" s="3">
        <f>SUM(E27:E43)</f>
        <v>447219.69900000008</v>
      </c>
      <c r="H44">
        <f>SUM(H27:H43)</f>
        <v>1322779011.0422075</v>
      </c>
    </row>
    <row r="46" spans="1:14">
      <c r="A46">
        <f>-400000000/10^6</f>
        <v>-400</v>
      </c>
      <c r="B46">
        <f>821743809.6277/10^6</f>
        <v>821.74380962769999</v>
      </c>
      <c r="C46">
        <f>568782343.327007/10^6</f>
        <v>568.78234332700708</v>
      </c>
      <c r="D46">
        <f>116182915.872277/10^6</f>
        <v>116.18291587227701</v>
      </c>
      <c r="E46">
        <f>57189333.9928735/10^6</f>
        <v>57.1893339928735</v>
      </c>
      <c r="F46">
        <f>31245728.276269/10^6</f>
        <v>31.245728276268999</v>
      </c>
      <c r="G46">
        <f>10449257.2680923/10^6</f>
        <v>10.449257268092301</v>
      </c>
      <c r="H46">
        <f>2496369.20693787/10^6</f>
        <v>2.49636920693787</v>
      </c>
      <c r="I46">
        <f>-3314492.10105986/10^6</f>
        <v>-3.31449210105986</v>
      </c>
      <c r="J46">
        <f>-8664234.97379528/10^6</f>
        <v>-8.6642349737952795</v>
      </c>
      <c r="K46">
        <f>-10062379.1966856/10^6</f>
        <v>-10.062379196685599</v>
      </c>
      <c r="L46">
        <f>-9730515.89690051/10^6</f>
        <v>-9.7305158969005099</v>
      </c>
      <c r="M46">
        <f>-8888434.9570722/10^6</f>
        <v>-8.8884349570721994</v>
      </c>
      <c r="N46">
        <f>-8309892.52001415/10^6</f>
        <v>-8.3098925200141505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opLeftCell="J1" workbookViewId="0">
      <selection activeCell="H49" sqref="H49"/>
    </sheetView>
  </sheetViews>
  <sheetFormatPr baseColWidth="10" defaultColWidth="8.83203125" defaultRowHeight="14" x14ac:dyDescent="0"/>
  <cols>
    <col min="1" max="1" width="12.1640625" bestFit="1" customWidth="1"/>
    <col min="2" max="3" width="11.5" bestFit="1" customWidth="1"/>
    <col min="4" max="4" width="17.5" customWidth="1"/>
    <col min="5" max="5" width="11.5" bestFit="1" customWidth="1"/>
    <col min="6" max="6" width="15.6640625" customWidth="1"/>
    <col min="7" max="7" width="10.5" bestFit="1" customWidth="1"/>
    <col min="8" max="8" width="9.1640625" bestFit="1" customWidth="1"/>
    <col min="9" max="9" width="25.5" bestFit="1" customWidth="1"/>
    <col min="10" max="10" width="14.5" customWidth="1"/>
    <col min="11" max="11" width="18.33203125" customWidth="1"/>
    <col min="12" max="12" width="10.5" bestFit="1" customWidth="1"/>
    <col min="13" max="13" width="17.6640625" style="11" customWidth="1"/>
    <col min="14" max="14" width="21.5" style="11" customWidth="1"/>
    <col min="15" max="15" width="15.83203125" style="34" customWidth="1"/>
    <col min="16" max="16" width="15.33203125" style="34" customWidth="1"/>
    <col min="17" max="17" width="9.1640625" bestFit="1" customWidth="1"/>
  </cols>
  <sheetData>
    <row r="1" spans="1:18">
      <c r="A1" t="s">
        <v>4</v>
      </c>
      <c r="I1" t="s">
        <v>3</v>
      </c>
      <c r="M1" s="11" t="s">
        <v>48</v>
      </c>
      <c r="O1" s="34" t="s">
        <v>49</v>
      </c>
    </row>
    <row r="2" spans="1:18">
      <c r="B2" t="s">
        <v>2</v>
      </c>
      <c r="D2" t="s">
        <v>0</v>
      </c>
      <c r="G2" t="s">
        <v>6</v>
      </c>
      <c r="J2" t="s">
        <v>2</v>
      </c>
      <c r="K2" t="s">
        <v>0</v>
      </c>
      <c r="L2" t="s">
        <v>6</v>
      </c>
      <c r="M2" s="11" t="s">
        <v>37</v>
      </c>
      <c r="N2" s="11" t="s">
        <v>42</v>
      </c>
      <c r="O2" s="35" t="s">
        <v>47</v>
      </c>
      <c r="P2" s="35"/>
      <c r="Q2" s="3"/>
      <c r="R2" s="3"/>
    </row>
    <row r="3" spans="1:18">
      <c r="B3" s="1">
        <v>40918</v>
      </c>
      <c r="C3">
        <v>2959055</v>
      </c>
      <c r="D3" s="1">
        <v>40918</v>
      </c>
      <c r="E3">
        <v>2441330</v>
      </c>
      <c r="F3" s="1">
        <v>40918</v>
      </c>
      <c r="G3">
        <v>2441330</v>
      </c>
      <c r="I3" s="1"/>
      <c r="K3">
        <v>2441330</v>
      </c>
      <c r="L3">
        <v>2441330</v>
      </c>
      <c r="O3" s="35" t="s">
        <v>2</v>
      </c>
      <c r="P3" s="35" t="s">
        <v>11</v>
      </c>
      <c r="Q3" s="3"/>
      <c r="R3" s="3"/>
    </row>
    <row r="4" spans="1:18">
      <c r="B4" s="1">
        <v>41061</v>
      </c>
      <c r="C4">
        <v>2984436</v>
      </c>
      <c r="D4" s="1">
        <v>41061</v>
      </c>
      <c r="E4">
        <v>2462296</v>
      </c>
      <c r="F4" s="1">
        <v>41061</v>
      </c>
      <c r="G4">
        <v>2462307</v>
      </c>
      <c r="I4" s="4">
        <v>41061</v>
      </c>
      <c r="J4">
        <f>C4-C3</f>
        <v>25381</v>
      </c>
      <c r="K4">
        <f>E4-E3</f>
        <v>20966</v>
      </c>
      <c r="L4">
        <f>G4-G3</f>
        <v>20977</v>
      </c>
      <c r="M4" s="11">
        <f>J4-L4</f>
        <v>4404</v>
      </c>
      <c r="N4" s="11">
        <v>4404</v>
      </c>
      <c r="O4" s="34">
        <f>C4-C3</f>
        <v>25381</v>
      </c>
      <c r="P4" s="35">
        <f t="shared" ref="P4:P19" si="0">G4-G3</f>
        <v>20977</v>
      </c>
      <c r="Q4" s="3"/>
      <c r="R4" s="3"/>
    </row>
    <row r="5" spans="1:18">
      <c r="B5" s="1">
        <v>41062</v>
      </c>
      <c r="C5">
        <v>2984610</v>
      </c>
      <c r="D5" s="1">
        <v>41062</v>
      </c>
      <c r="E5">
        <v>2462440</v>
      </c>
      <c r="F5" s="1">
        <v>41062</v>
      </c>
      <c r="G5">
        <v>2462451</v>
      </c>
      <c r="I5" s="4">
        <v>41062</v>
      </c>
      <c r="J5">
        <f t="shared" ref="J5:J19" si="1">C5-C4+J4</f>
        <v>25555</v>
      </c>
      <c r="K5">
        <f>E5-E4+K4</f>
        <v>21110</v>
      </c>
      <c r="L5">
        <f>G5-G4+L4</f>
        <v>21121</v>
      </c>
      <c r="M5" s="11">
        <f t="shared" ref="M5:M19" si="2">J5-L5</f>
        <v>4434</v>
      </c>
      <c r="N5" s="11">
        <f>M5-N4</f>
        <v>30</v>
      </c>
      <c r="O5" s="34">
        <f t="shared" ref="O5:O19" si="3">C5-C4</f>
        <v>174</v>
      </c>
      <c r="P5" s="35">
        <f t="shared" si="0"/>
        <v>144</v>
      </c>
      <c r="Q5" s="3"/>
      <c r="R5" s="3"/>
    </row>
    <row r="6" spans="1:18">
      <c r="B6" s="1">
        <v>41275</v>
      </c>
      <c r="C6">
        <v>3020672</v>
      </c>
      <c r="D6" s="1">
        <v>41275</v>
      </c>
      <c r="E6">
        <v>2492069</v>
      </c>
      <c r="F6" s="1">
        <v>41275</v>
      </c>
      <c r="G6">
        <v>2492566</v>
      </c>
      <c r="I6" s="4">
        <v>41275</v>
      </c>
      <c r="J6">
        <f t="shared" si="1"/>
        <v>61617</v>
      </c>
      <c r="K6">
        <f t="shared" ref="K6:K19" si="4">E6-E5+K5</f>
        <v>50739</v>
      </c>
      <c r="L6">
        <f t="shared" ref="L6:L19" si="5">G6-G5+L5</f>
        <v>51236</v>
      </c>
      <c r="M6" s="11">
        <f t="shared" si="2"/>
        <v>10381</v>
      </c>
      <c r="N6" s="11">
        <f>M6-(N5+N4)</f>
        <v>5947</v>
      </c>
      <c r="O6" s="34">
        <f t="shared" si="3"/>
        <v>36062</v>
      </c>
      <c r="P6" s="35">
        <f t="shared" si="0"/>
        <v>30115</v>
      </c>
      <c r="Q6" s="3"/>
      <c r="R6" s="3"/>
    </row>
    <row r="7" spans="1:18">
      <c r="B7" s="1">
        <v>41426</v>
      </c>
      <c r="C7">
        <v>3045004</v>
      </c>
      <c r="D7" s="1">
        <v>41426</v>
      </c>
      <c r="E7">
        <v>2512077</v>
      </c>
      <c r="F7" s="1">
        <v>41426</v>
      </c>
      <c r="G7">
        <v>2513272</v>
      </c>
      <c r="I7" s="4">
        <v>41426</v>
      </c>
      <c r="J7">
        <f t="shared" si="1"/>
        <v>85949</v>
      </c>
      <c r="K7">
        <f t="shared" si="4"/>
        <v>70747</v>
      </c>
      <c r="L7">
        <f t="shared" si="5"/>
        <v>71942</v>
      </c>
      <c r="M7" s="11">
        <f t="shared" si="2"/>
        <v>14007</v>
      </c>
      <c r="N7" s="11">
        <f>M7-M6</f>
        <v>3626</v>
      </c>
      <c r="O7" s="34">
        <f t="shared" si="3"/>
        <v>24332</v>
      </c>
      <c r="P7" s="35">
        <f t="shared" si="0"/>
        <v>20706</v>
      </c>
      <c r="Q7" s="3"/>
      <c r="R7" s="3"/>
    </row>
    <row r="8" spans="1:18">
      <c r="B8" s="1">
        <v>41640</v>
      </c>
      <c r="C8">
        <v>3077816</v>
      </c>
      <c r="D8" s="1">
        <v>41640</v>
      </c>
      <c r="E8">
        <v>2539262</v>
      </c>
      <c r="F8" s="1">
        <v>41640</v>
      </c>
      <c r="G8">
        <v>2541649</v>
      </c>
      <c r="I8" s="4">
        <v>41640</v>
      </c>
      <c r="J8">
        <f t="shared" si="1"/>
        <v>118761</v>
      </c>
      <c r="K8">
        <f t="shared" si="4"/>
        <v>97932</v>
      </c>
      <c r="L8">
        <f t="shared" si="5"/>
        <v>100319</v>
      </c>
      <c r="M8" s="11">
        <f t="shared" si="2"/>
        <v>18442</v>
      </c>
      <c r="N8" s="11">
        <f>M8-M7</f>
        <v>4435</v>
      </c>
      <c r="O8" s="34">
        <f t="shared" si="3"/>
        <v>32812</v>
      </c>
      <c r="P8" s="35">
        <f t="shared" si="0"/>
        <v>28377</v>
      </c>
      <c r="Q8" s="3"/>
      <c r="R8" s="3"/>
    </row>
    <row r="9" spans="1:18">
      <c r="B9" s="1">
        <v>42005</v>
      </c>
      <c r="C9">
        <v>3129910</v>
      </c>
      <c r="D9" s="1">
        <v>42005</v>
      </c>
      <c r="E9">
        <v>2583065</v>
      </c>
      <c r="F9" s="1">
        <v>42005</v>
      </c>
      <c r="G9">
        <v>2587830</v>
      </c>
      <c r="I9" s="4">
        <v>42005</v>
      </c>
      <c r="J9">
        <f t="shared" si="1"/>
        <v>170855</v>
      </c>
      <c r="K9">
        <f t="shared" si="4"/>
        <v>141735</v>
      </c>
      <c r="L9">
        <f t="shared" si="5"/>
        <v>146500</v>
      </c>
      <c r="M9" s="11">
        <f t="shared" si="2"/>
        <v>24355</v>
      </c>
      <c r="N9" s="11">
        <f t="shared" ref="N9:N19" si="6">M9-M8</f>
        <v>5913</v>
      </c>
      <c r="O9" s="34">
        <f t="shared" si="3"/>
        <v>52094</v>
      </c>
      <c r="P9" s="35">
        <f t="shared" si="0"/>
        <v>46181</v>
      </c>
      <c r="Q9" s="3"/>
      <c r="R9" s="3"/>
    </row>
    <row r="10" spans="1:18">
      <c r="B10" s="1">
        <v>42370</v>
      </c>
      <c r="C10">
        <v>3178000</v>
      </c>
      <c r="D10" s="1">
        <v>42370</v>
      </c>
      <c r="E10">
        <v>2624257</v>
      </c>
      <c r="F10" s="1">
        <v>42370</v>
      </c>
      <c r="G10">
        <v>2631704</v>
      </c>
      <c r="I10" s="4">
        <v>42370</v>
      </c>
      <c r="J10">
        <f t="shared" si="1"/>
        <v>218945</v>
      </c>
      <c r="K10">
        <f t="shared" si="4"/>
        <v>182927</v>
      </c>
      <c r="L10">
        <f t="shared" si="5"/>
        <v>190374</v>
      </c>
      <c r="M10" s="11">
        <f t="shared" si="2"/>
        <v>28571</v>
      </c>
      <c r="N10" s="11">
        <f t="shared" si="6"/>
        <v>4216</v>
      </c>
      <c r="O10" s="34">
        <f t="shared" si="3"/>
        <v>48090</v>
      </c>
      <c r="P10" s="35">
        <f t="shared" si="0"/>
        <v>43874</v>
      </c>
      <c r="Q10" s="3"/>
      <c r="R10" s="3"/>
    </row>
    <row r="11" spans="1:18">
      <c r="B11" s="1">
        <v>42736</v>
      </c>
      <c r="C11">
        <v>3222964</v>
      </c>
      <c r="D11" s="1">
        <v>42736</v>
      </c>
      <c r="E11">
        <v>2663364</v>
      </c>
      <c r="F11" s="1">
        <v>42736</v>
      </c>
      <c r="G11">
        <v>2673810</v>
      </c>
      <c r="I11" s="4">
        <v>42736</v>
      </c>
      <c r="J11">
        <f t="shared" si="1"/>
        <v>263909</v>
      </c>
      <c r="K11">
        <f t="shared" si="4"/>
        <v>222034</v>
      </c>
      <c r="L11">
        <f t="shared" si="5"/>
        <v>232480</v>
      </c>
      <c r="M11" s="11">
        <f t="shared" si="2"/>
        <v>31429</v>
      </c>
      <c r="N11" s="11">
        <f t="shared" si="6"/>
        <v>2858</v>
      </c>
      <c r="O11" s="34">
        <f t="shared" si="3"/>
        <v>44964</v>
      </c>
      <c r="P11" s="35">
        <f t="shared" si="0"/>
        <v>42106</v>
      </c>
      <c r="Q11" s="3"/>
      <c r="R11" s="3"/>
    </row>
    <row r="12" spans="1:18">
      <c r="B12" s="1">
        <v>43101</v>
      </c>
      <c r="C12">
        <v>3265069</v>
      </c>
      <c r="D12" s="1">
        <v>43101</v>
      </c>
      <c r="E12">
        <v>2700479</v>
      </c>
      <c r="F12" s="1">
        <v>43101</v>
      </c>
      <c r="G12">
        <v>2714056</v>
      </c>
      <c r="I12" s="4">
        <v>43101</v>
      </c>
      <c r="J12">
        <f t="shared" si="1"/>
        <v>306014</v>
      </c>
      <c r="K12">
        <f t="shared" si="4"/>
        <v>259149</v>
      </c>
      <c r="L12">
        <f t="shared" si="5"/>
        <v>272726</v>
      </c>
      <c r="M12" s="11">
        <f t="shared" si="2"/>
        <v>33288</v>
      </c>
      <c r="N12" s="11">
        <f t="shared" si="6"/>
        <v>1859</v>
      </c>
      <c r="O12" s="34">
        <f t="shared" si="3"/>
        <v>42105</v>
      </c>
      <c r="P12" s="35">
        <f t="shared" si="0"/>
        <v>40246</v>
      </c>
      <c r="Q12" s="3"/>
      <c r="R12" s="3"/>
    </row>
    <row r="13" spans="1:18">
      <c r="B13" s="1">
        <v>43466</v>
      </c>
      <c r="C13">
        <v>3304865</v>
      </c>
      <c r="D13" s="1">
        <v>43466</v>
      </c>
      <c r="E13">
        <v>2735901</v>
      </c>
      <c r="F13" s="1">
        <v>43466</v>
      </c>
      <c r="G13">
        <v>2752592</v>
      </c>
      <c r="I13" s="4">
        <v>43466</v>
      </c>
      <c r="J13">
        <f t="shared" si="1"/>
        <v>345810</v>
      </c>
      <c r="K13">
        <f t="shared" si="4"/>
        <v>294571</v>
      </c>
      <c r="L13">
        <f t="shared" si="5"/>
        <v>311262</v>
      </c>
      <c r="M13" s="11">
        <f t="shared" si="2"/>
        <v>34548</v>
      </c>
      <c r="N13" s="11">
        <f t="shared" si="6"/>
        <v>1260</v>
      </c>
      <c r="O13" s="34">
        <f t="shared" si="3"/>
        <v>39796</v>
      </c>
      <c r="P13" s="35">
        <f t="shared" si="0"/>
        <v>38536</v>
      </c>
      <c r="Q13" s="3"/>
      <c r="R13" s="3"/>
    </row>
    <row r="14" spans="1:18">
      <c r="B14" s="1">
        <v>43831</v>
      </c>
      <c r="C14">
        <v>3342667</v>
      </c>
      <c r="D14" s="1">
        <v>43831</v>
      </c>
      <c r="E14">
        <v>2769706</v>
      </c>
      <c r="F14" s="1">
        <v>43831</v>
      </c>
      <c r="G14">
        <v>2789384</v>
      </c>
      <c r="I14" s="4">
        <v>43831</v>
      </c>
      <c r="J14">
        <f t="shared" si="1"/>
        <v>383612</v>
      </c>
      <c r="K14">
        <f t="shared" si="4"/>
        <v>328376</v>
      </c>
      <c r="L14">
        <f t="shared" si="5"/>
        <v>348054</v>
      </c>
      <c r="M14" s="11">
        <f t="shared" si="2"/>
        <v>35558</v>
      </c>
      <c r="N14" s="11">
        <f t="shared" si="6"/>
        <v>1010</v>
      </c>
      <c r="O14" s="34">
        <f t="shared" si="3"/>
        <v>37802</v>
      </c>
      <c r="P14" s="35">
        <f t="shared" si="0"/>
        <v>36792</v>
      </c>
      <c r="Q14" s="3"/>
      <c r="R14" s="3"/>
    </row>
    <row r="15" spans="1:18">
      <c r="B15" s="1">
        <v>44197</v>
      </c>
      <c r="C15">
        <v>3378809</v>
      </c>
      <c r="D15" s="1">
        <v>44197</v>
      </c>
      <c r="E15">
        <v>2802102</v>
      </c>
      <c r="F15" s="1">
        <v>44197</v>
      </c>
      <c r="G15">
        <v>2824538</v>
      </c>
      <c r="I15" s="4">
        <v>44197</v>
      </c>
      <c r="J15">
        <f t="shared" si="1"/>
        <v>419754</v>
      </c>
      <c r="K15">
        <f t="shared" si="4"/>
        <v>360772</v>
      </c>
      <c r="L15">
        <f t="shared" si="5"/>
        <v>383208</v>
      </c>
      <c r="M15" s="11">
        <f t="shared" si="2"/>
        <v>36546</v>
      </c>
      <c r="N15" s="11">
        <f t="shared" si="6"/>
        <v>988</v>
      </c>
      <c r="O15" s="34">
        <f t="shared" si="3"/>
        <v>36142</v>
      </c>
      <c r="P15" s="35">
        <f t="shared" si="0"/>
        <v>35154</v>
      </c>
      <c r="Q15" s="3"/>
      <c r="R15" s="3"/>
    </row>
    <row r="16" spans="1:18">
      <c r="B16" s="1">
        <v>44562</v>
      </c>
      <c r="C16">
        <v>3413153</v>
      </c>
      <c r="D16" s="1">
        <v>44562</v>
      </c>
      <c r="E16">
        <v>2833111</v>
      </c>
      <c r="F16" s="1">
        <v>44562</v>
      </c>
      <c r="G16">
        <v>2857952</v>
      </c>
      <c r="I16" s="4">
        <v>44562</v>
      </c>
      <c r="J16">
        <f t="shared" si="1"/>
        <v>454098</v>
      </c>
      <c r="K16">
        <f t="shared" si="4"/>
        <v>391781</v>
      </c>
      <c r="L16">
        <f t="shared" si="5"/>
        <v>416622</v>
      </c>
      <c r="M16" s="11">
        <f t="shared" si="2"/>
        <v>37476</v>
      </c>
      <c r="N16" s="11">
        <f t="shared" si="6"/>
        <v>930</v>
      </c>
      <c r="O16" s="34">
        <f t="shared" si="3"/>
        <v>34344</v>
      </c>
      <c r="P16" s="35">
        <f t="shared" si="0"/>
        <v>33414</v>
      </c>
      <c r="Q16" s="3"/>
      <c r="R16" s="3"/>
    </row>
    <row r="17" spans="1:48">
      <c r="B17" s="1">
        <v>44927</v>
      </c>
      <c r="C17">
        <v>3445742</v>
      </c>
      <c r="D17" s="1">
        <v>44927</v>
      </c>
      <c r="E17">
        <v>2862952</v>
      </c>
      <c r="F17" s="1">
        <v>44927</v>
      </c>
      <c r="G17">
        <v>2889739</v>
      </c>
      <c r="I17" s="4">
        <v>44927</v>
      </c>
      <c r="J17">
        <f t="shared" si="1"/>
        <v>486687</v>
      </c>
      <c r="K17">
        <f t="shared" si="4"/>
        <v>421622</v>
      </c>
      <c r="L17">
        <f t="shared" si="5"/>
        <v>448409</v>
      </c>
      <c r="M17" s="11">
        <f t="shared" si="2"/>
        <v>38278</v>
      </c>
      <c r="N17" s="11">
        <f t="shared" si="6"/>
        <v>802</v>
      </c>
      <c r="O17" s="34">
        <f t="shared" si="3"/>
        <v>32589</v>
      </c>
      <c r="P17" s="35">
        <f t="shared" si="0"/>
        <v>31787</v>
      </c>
      <c r="Q17" s="3"/>
      <c r="R17" s="3"/>
    </row>
    <row r="18" spans="1:48">
      <c r="B18" s="1">
        <v>45292</v>
      </c>
      <c r="C18">
        <v>3476621</v>
      </c>
      <c r="D18" s="1">
        <v>45292</v>
      </c>
      <c r="E18">
        <v>2891740</v>
      </c>
      <c r="F18" s="1">
        <v>45292</v>
      </c>
      <c r="G18">
        <v>2920034</v>
      </c>
      <c r="I18" s="4">
        <v>45292</v>
      </c>
      <c r="J18">
        <f t="shared" si="1"/>
        <v>517566</v>
      </c>
      <c r="K18">
        <f t="shared" si="4"/>
        <v>450410</v>
      </c>
      <c r="L18">
        <f t="shared" si="5"/>
        <v>478704</v>
      </c>
      <c r="M18" s="11">
        <f t="shared" si="2"/>
        <v>38862</v>
      </c>
      <c r="N18" s="11">
        <f t="shared" si="6"/>
        <v>584</v>
      </c>
      <c r="O18" s="34">
        <f t="shared" si="3"/>
        <v>30879</v>
      </c>
      <c r="P18" s="35">
        <f t="shared" si="0"/>
        <v>30295</v>
      </c>
      <c r="Q18" s="3"/>
      <c r="R18" s="3"/>
    </row>
    <row r="19" spans="1:48">
      <c r="B19" s="1">
        <v>45658</v>
      </c>
      <c r="C19">
        <v>3506055</v>
      </c>
      <c r="D19" s="1">
        <v>45658</v>
      </c>
      <c r="E19">
        <v>2919626</v>
      </c>
      <c r="F19" s="1">
        <v>45658</v>
      </c>
      <c r="G19" s="3">
        <v>2949084</v>
      </c>
      <c r="I19" s="4">
        <v>45658</v>
      </c>
      <c r="J19">
        <f t="shared" si="1"/>
        <v>547000</v>
      </c>
      <c r="K19">
        <f t="shared" si="4"/>
        <v>478296</v>
      </c>
      <c r="L19">
        <f t="shared" si="5"/>
        <v>507754</v>
      </c>
      <c r="M19" s="11">
        <f t="shared" si="2"/>
        <v>39246</v>
      </c>
      <c r="N19" s="11">
        <f t="shared" si="6"/>
        <v>384</v>
      </c>
      <c r="O19" s="34">
        <f t="shared" si="3"/>
        <v>29434</v>
      </c>
      <c r="P19" s="35">
        <f t="shared" si="0"/>
        <v>29050</v>
      </c>
      <c r="Q19" s="3"/>
      <c r="R19" s="3"/>
    </row>
    <row r="20" spans="1:48">
      <c r="F20" s="1"/>
      <c r="G20" s="2"/>
      <c r="K20" s="3"/>
      <c r="O20" s="35"/>
      <c r="P20" s="35"/>
      <c r="Q20" s="3"/>
      <c r="R20" s="3"/>
    </row>
    <row r="21" spans="1:48">
      <c r="F21" s="1"/>
      <c r="G21" s="2"/>
      <c r="J21" s="1"/>
      <c r="K21" s="2"/>
      <c r="O21" s="35"/>
      <c r="P21" s="35"/>
      <c r="Q21" s="3"/>
      <c r="R21" s="3"/>
    </row>
    <row r="22" spans="1:48">
      <c r="B22" s="3"/>
      <c r="C22" s="3"/>
      <c r="D22" s="3"/>
      <c r="E22" s="3"/>
      <c r="G22" s="3"/>
      <c r="H22" s="3"/>
      <c r="I22" s="3"/>
      <c r="J22" s="3"/>
      <c r="K22" s="3">
        <f>J19-L19</f>
        <v>39246</v>
      </c>
      <c r="L22" s="3">
        <f>K44+K22</f>
        <v>380221.1</v>
      </c>
      <c r="M22" s="33"/>
      <c r="N22" s="33">
        <f>G62-L22</f>
        <v>447219.70000000007</v>
      </c>
      <c r="O22" s="35">
        <f>N22*6.29</f>
        <v>2813011.9130000006</v>
      </c>
      <c r="P22" s="35">
        <f>O22*100*6</f>
        <v>1687807147.8000004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B23" s="3"/>
      <c r="C23" s="3"/>
      <c r="D23" s="3"/>
      <c r="E23" s="3"/>
      <c r="G23" s="3"/>
      <c r="H23" s="3"/>
      <c r="I23" s="3"/>
      <c r="J23" s="3"/>
      <c r="K23" s="3"/>
      <c r="L23" s="3"/>
      <c r="M23" s="33"/>
      <c r="N23" s="33"/>
      <c r="O23" s="35"/>
      <c r="P23" s="35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t="s">
        <v>5</v>
      </c>
      <c r="B24" s="3"/>
      <c r="C24" s="3"/>
      <c r="D24" s="3"/>
      <c r="E24" s="3"/>
      <c r="G24" s="3"/>
      <c r="H24" s="3"/>
      <c r="I24" t="s">
        <v>3</v>
      </c>
      <c r="J24" s="3"/>
      <c r="K24" s="3"/>
      <c r="L24" s="3"/>
      <c r="M24" s="33"/>
      <c r="N24" s="33"/>
      <c r="O24" s="35"/>
      <c r="P24" s="35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B25" s="1">
        <v>40918</v>
      </c>
      <c r="C25" s="3">
        <v>1465285</v>
      </c>
      <c r="D25" s="1">
        <v>40918</v>
      </c>
      <c r="E25" s="3">
        <v>847691.4</v>
      </c>
      <c r="F25" s="1">
        <v>40918</v>
      </c>
      <c r="G25" s="3">
        <v>847688.1</v>
      </c>
      <c r="H25" s="3"/>
      <c r="I25" s="3"/>
      <c r="J25" t="s">
        <v>2</v>
      </c>
      <c r="K25" t="s">
        <v>0</v>
      </c>
      <c r="L25" t="s">
        <v>6</v>
      </c>
      <c r="M25" s="33" t="s">
        <v>37</v>
      </c>
      <c r="N25" s="33" t="s">
        <v>41</v>
      </c>
      <c r="O25" s="35" t="s">
        <v>50</v>
      </c>
      <c r="P25" s="35" t="s">
        <v>51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B26" s="1">
        <v>41061</v>
      </c>
      <c r="C26" s="3">
        <v>1497996</v>
      </c>
      <c r="D26" s="1">
        <v>41061</v>
      </c>
      <c r="E26" s="3">
        <v>874928.6</v>
      </c>
      <c r="F26" s="1">
        <v>41061</v>
      </c>
      <c r="G26" s="3">
        <v>874693.8</v>
      </c>
      <c r="H26" s="3"/>
      <c r="I26" s="4">
        <v>41061</v>
      </c>
      <c r="J26" s="3">
        <f>C26-C25</f>
        <v>32711</v>
      </c>
      <c r="K26" s="3">
        <f>E26-E25</f>
        <v>27237.199999999953</v>
      </c>
      <c r="L26" s="3">
        <f>G26-G25</f>
        <v>27005.70000000007</v>
      </c>
      <c r="M26" s="33">
        <f>J26-L26</f>
        <v>5705.2999999999302</v>
      </c>
      <c r="N26" s="33">
        <f>M26</f>
        <v>5705.2999999999302</v>
      </c>
      <c r="O26" s="35">
        <f>C26-C25</f>
        <v>32711</v>
      </c>
      <c r="P26" s="35">
        <f>G26-G25</f>
        <v>27005.70000000007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B27" s="1">
        <v>41062</v>
      </c>
      <c r="C27" s="3">
        <v>1498221</v>
      </c>
      <c r="D27" s="1">
        <v>41062</v>
      </c>
      <c r="E27" s="3">
        <v>875115.7</v>
      </c>
      <c r="F27" s="1">
        <v>41062</v>
      </c>
      <c r="G27" s="3">
        <v>874872.8</v>
      </c>
      <c r="H27" s="3"/>
      <c r="I27" s="4">
        <v>41062</v>
      </c>
      <c r="J27" s="3">
        <f t="shared" ref="J27:J41" si="7">C27-C26+J26</f>
        <v>32936</v>
      </c>
      <c r="K27" s="3">
        <f t="shared" ref="K27:K41" si="8">E27-E26+K26</f>
        <v>27424.29999999993</v>
      </c>
      <c r="L27" s="3">
        <f t="shared" ref="L27:L41" si="9">G27-G26+L26</f>
        <v>27184.70000000007</v>
      </c>
      <c r="M27" s="33">
        <f t="shared" ref="M27:M41" si="10">J27-L27</f>
        <v>5751.2999999999302</v>
      </c>
      <c r="N27" s="33">
        <f>M27-M26</f>
        <v>46</v>
      </c>
      <c r="O27" s="35">
        <f t="shared" ref="O27:O41" si="11">C27-C26</f>
        <v>225</v>
      </c>
      <c r="P27" s="35">
        <f t="shared" ref="P27:P41" si="12">G27-G26</f>
        <v>179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>
      <c r="B28" s="1">
        <v>41275</v>
      </c>
      <c r="C28" s="3">
        <v>1545179</v>
      </c>
      <c r="D28" s="1">
        <v>41275</v>
      </c>
      <c r="E28" s="3">
        <v>913667.7</v>
      </c>
      <c r="F28" s="1">
        <v>41275</v>
      </c>
      <c r="G28" s="3">
        <v>906844.4</v>
      </c>
      <c r="H28" s="3"/>
      <c r="I28" s="4">
        <v>41275</v>
      </c>
      <c r="J28" s="3">
        <f t="shared" si="7"/>
        <v>79894</v>
      </c>
      <c r="K28" s="3">
        <f t="shared" si="8"/>
        <v>65976.29999999993</v>
      </c>
      <c r="L28" s="3">
        <f t="shared" si="9"/>
        <v>59156.300000000047</v>
      </c>
      <c r="M28" s="33">
        <f t="shared" si="10"/>
        <v>20737.699999999953</v>
      </c>
      <c r="N28" s="33">
        <f>M28-M27</f>
        <v>14986.400000000023</v>
      </c>
      <c r="O28" s="35">
        <f t="shared" si="11"/>
        <v>46958</v>
      </c>
      <c r="P28" s="35">
        <f t="shared" si="12"/>
        <v>31971.599999999977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>
      <c r="B29" s="1">
        <v>41426</v>
      </c>
      <c r="C29" s="3">
        <v>1577131</v>
      </c>
      <c r="D29" s="1">
        <v>41426</v>
      </c>
      <c r="E29" s="3">
        <v>939451.9</v>
      </c>
      <c r="F29" s="1">
        <v>41426</v>
      </c>
      <c r="G29" s="3">
        <v>923756.6</v>
      </c>
      <c r="H29" s="3"/>
      <c r="I29" s="4">
        <v>41426</v>
      </c>
      <c r="J29" s="3">
        <f t="shared" si="7"/>
        <v>111846</v>
      </c>
      <c r="K29" s="3">
        <f t="shared" si="8"/>
        <v>91760.5</v>
      </c>
      <c r="L29" s="3">
        <f t="shared" si="9"/>
        <v>76068.5</v>
      </c>
      <c r="M29" s="33">
        <f t="shared" si="10"/>
        <v>35777.5</v>
      </c>
      <c r="N29" s="33">
        <f>M29-M28</f>
        <v>15039.800000000047</v>
      </c>
      <c r="O29" s="35">
        <f t="shared" si="11"/>
        <v>31952</v>
      </c>
      <c r="P29" s="35">
        <f t="shared" si="12"/>
        <v>16912.199999999953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>
      <c r="B30" s="1">
        <v>41640</v>
      </c>
      <c r="C30" s="3">
        <v>1620180</v>
      </c>
      <c r="D30" s="1">
        <v>41640</v>
      </c>
      <c r="E30" s="3">
        <v>973904.6</v>
      </c>
      <c r="F30" s="1">
        <v>41640</v>
      </c>
      <c r="G30" s="3">
        <v>943570.3</v>
      </c>
      <c r="H30" s="3"/>
      <c r="I30" s="4">
        <v>41640</v>
      </c>
      <c r="J30" s="3">
        <f t="shared" si="7"/>
        <v>154895</v>
      </c>
      <c r="K30" s="3">
        <f t="shared" si="8"/>
        <v>126213.19999999995</v>
      </c>
      <c r="L30" s="3">
        <f t="shared" si="9"/>
        <v>95882.20000000007</v>
      </c>
      <c r="M30" s="33">
        <f t="shared" si="10"/>
        <v>59012.79999999993</v>
      </c>
      <c r="N30" s="33">
        <f t="shared" ref="N30:N41" si="13">M30-M29</f>
        <v>23235.29999999993</v>
      </c>
      <c r="O30" s="35">
        <f t="shared" si="11"/>
        <v>43049</v>
      </c>
      <c r="P30" s="35">
        <f t="shared" si="12"/>
        <v>19813.70000000007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>
      <c r="B31" s="1">
        <v>42005</v>
      </c>
      <c r="C31" s="3">
        <v>1687953</v>
      </c>
      <c r="D31" s="1">
        <v>42005</v>
      </c>
      <c r="E31" s="3">
        <v>1027897</v>
      </c>
      <c r="F31" s="1">
        <v>42005</v>
      </c>
      <c r="G31" s="3">
        <v>973935.7</v>
      </c>
      <c r="H31" s="3"/>
      <c r="I31" s="4">
        <v>42005</v>
      </c>
      <c r="J31" s="3">
        <f t="shared" si="7"/>
        <v>222668</v>
      </c>
      <c r="K31" s="3">
        <f t="shared" si="8"/>
        <v>180205.59999999998</v>
      </c>
      <c r="L31" s="3">
        <f t="shared" si="9"/>
        <v>126247.59999999998</v>
      </c>
      <c r="M31" s="33">
        <f t="shared" si="10"/>
        <v>96420.400000000023</v>
      </c>
      <c r="N31" s="33">
        <f t="shared" si="13"/>
        <v>37407.600000000093</v>
      </c>
      <c r="O31" s="35">
        <f t="shared" si="11"/>
        <v>67773</v>
      </c>
      <c r="P31" s="35">
        <f t="shared" si="12"/>
        <v>30365.399999999907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>
      <c r="B32" s="1">
        <v>42370</v>
      </c>
      <c r="C32" s="3">
        <v>1749774</v>
      </c>
      <c r="D32" s="1">
        <v>42370</v>
      </c>
      <c r="E32" s="3">
        <v>1077109</v>
      </c>
      <c r="F32" s="1">
        <v>42370</v>
      </c>
      <c r="G32" s="3">
        <v>1002784</v>
      </c>
      <c r="H32" s="3"/>
      <c r="I32" s="4">
        <v>42370</v>
      </c>
      <c r="J32" s="3">
        <f t="shared" si="7"/>
        <v>284489</v>
      </c>
      <c r="K32" s="3">
        <f t="shared" si="8"/>
        <v>229417.59999999998</v>
      </c>
      <c r="L32" s="3">
        <f t="shared" si="9"/>
        <v>155095.90000000002</v>
      </c>
      <c r="M32" s="33">
        <f t="shared" si="10"/>
        <v>129393.09999999998</v>
      </c>
      <c r="N32" s="33">
        <f t="shared" si="13"/>
        <v>32972.699999999953</v>
      </c>
      <c r="O32" s="35">
        <f t="shared" si="11"/>
        <v>61821</v>
      </c>
      <c r="P32" s="35">
        <f t="shared" si="12"/>
        <v>28848.300000000047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>
      <c r="B33" s="1">
        <v>42736</v>
      </c>
      <c r="C33" s="3">
        <v>1808576</v>
      </c>
      <c r="D33" s="1">
        <v>42736</v>
      </c>
      <c r="E33" s="3">
        <v>1122490</v>
      </c>
      <c r="F33" s="1">
        <v>42736</v>
      </c>
      <c r="G33" s="3">
        <v>1030313</v>
      </c>
      <c r="H33" s="3"/>
      <c r="I33" s="4">
        <v>42736</v>
      </c>
      <c r="J33" s="3">
        <f t="shared" si="7"/>
        <v>343291</v>
      </c>
      <c r="K33" s="3">
        <f t="shared" si="8"/>
        <v>274798.59999999998</v>
      </c>
      <c r="L33" s="3">
        <f t="shared" si="9"/>
        <v>182624.90000000002</v>
      </c>
      <c r="M33" s="33">
        <f t="shared" si="10"/>
        <v>160666.09999999998</v>
      </c>
      <c r="N33" s="33">
        <f t="shared" si="13"/>
        <v>31273</v>
      </c>
      <c r="O33" s="35">
        <f t="shared" si="11"/>
        <v>58802</v>
      </c>
      <c r="P33" s="35">
        <f t="shared" si="12"/>
        <v>27529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>
      <c r="B34" s="1">
        <v>43101</v>
      </c>
      <c r="C34" s="3">
        <v>1865048</v>
      </c>
      <c r="D34" s="1">
        <v>43101</v>
      </c>
      <c r="E34" s="3">
        <v>1164107</v>
      </c>
      <c r="F34" s="1">
        <v>43101</v>
      </c>
      <c r="G34" s="3">
        <v>1056611</v>
      </c>
      <c r="H34" s="3"/>
      <c r="I34" s="4">
        <v>43101</v>
      </c>
      <c r="J34" s="3">
        <f t="shared" si="7"/>
        <v>399763</v>
      </c>
      <c r="K34" s="3">
        <f t="shared" si="8"/>
        <v>316415.59999999998</v>
      </c>
      <c r="L34" s="3">
        <f t="shared" si="9"/>
        <v>208922.90000000002</v>
      </c>
      <c r="M34" s="33">
        <f t="shared" si="10"/>
        <v>190840.09999999998</v>
      </c>
      <c r="N34" s="33">
        <f t="shared" si="13"/>
        <v>30174</v>
      </c>
      <c r="O34" s="35">
        <f t="shared" si="11"/>
        <v>56472</v>
      </c>
      <c r="P34" s="35">
        <f t="shared" si="12"/>
        <v>26298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>
      <c r="B35" s="1">
        <v>43466</v>
      </c>
      <c r="C35" s="3">
        <v>1918296</v>
      </c>
      <c r="D35" s="1">
        <v>43466</v>
      </c>
      <c r="E35" s="3">
        <v>1202523</v>
      </c>
      <c r="F35" s="1">
        <v>43466</v>
      </c>
      <c r="G35" s="3">
        <v>1081994</v>
      </c>
      <c r="H35" s="3"/>
      <c r="I35" s="4">
        <v>43466</v>
      </c>
      <c r="J35" s="3">
        <f t="shared" si="7"/>
        <v>453011</v>
      </c>
      <c r="K35" s="3">
        <f t="shared" si="8"/>
        <v>354831.6</v>
      </c>
      <c r="L35" s="3">
        <f t="shared" si="9"/>
        <v>234305.90000000002</v>
      </c>
      <c r="M35" s="33">
        <f t="shared" si="10"/>
        <v>218705.09999999998</v>
      </c>
      <c r="N35" s="33">
        <f t="shared" si="13"/>
        <v>27865</v>
      </c>
      <c r="O35" s="35">
        <f t="shared" si="11"/>
        <v>53248</v>
      </c>
      <c r="P35" s="35">
        <f t="shared" si="12"/>
        <v>25383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>
      <c r="B36" s="1">
        <v>43831</v>
      </c>
      <c r="C36" s="3">
        <v>1968353</v>
      </c>
      <c r="D36" s="1">
        <v>43831</v>
      </c>
      <c r="E36" s="3">
        <v>1238177</v>
      </c>
      <c r="F36" s="1">
        <v>43831</v>
      </c>
      <c r="G36" s="3">
        <v>1106836</v>
      </c>
      <c r="H36" s="3"/>
      <c r="I36" s="4">
        <v>43831</v>
      </c>
      <c r="J36" s="3">
        <f t="shared" si="7"/>
        <v>503068</v>
      </c>
      <c r="K36" s="3">
        <f t="shared" si="8"/>
        <v>390485.6</v>
      </c>
      <c r="L36" s="3">
        <f t="shared" si="9"/>
        <v>259147.90000000002</v>
      </c>
      <c r="M36" s="33">
        <f t="shared" si="10"/>
        <v>243920.09999999998</v>
      </c>
      <c r="N36" s="33">
        <f t="shared" si="13"/>
        <v>25215</v>
      </c>
      <c r="O36" s="35">
        <f t="shared" si="11"/>
        <v>50057</v>
      </c>
      <c r="P36" s="35">
        <f t="shared" si="12"/>
        <v>24842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>
      <c r="B37" s="1">
        <v>44197</v>
      </c>
      <c r="C37" s="3">
        <v>2015926</v>
      </c>
      <c r="D37" s="1">
        <v>44197</v>
      </c>
      <c r="E37" s="3">
        <v>1271543</v>
      </c>
      <c r="F37" s="1">
        <v>44197</v>
      </c>
      <c r="G37" s="3">
        <v>1131395</v>
      </c>
      <c r="H37" s="3"/>
      <c r="I37" s="4">
        <v>44197</v>
      </c>
      <c r="J37" s="3">
        <f t="shared" si="7"/>
        <v>550641</v>
      </c>
      <c r="K37" s="3">
        <f t="shared" si="8"/>
        <v>423851.6</v>
      </c>
      <c r="L37" s="3">
        <f t="shared" si="9"/>
        <v>283706.90000000002</v>
      </c>
      <c r="M37" s="33">
        <f t="shared" si="10"/>
        <v>266934.09999999998</v>
      </c>
      <c r="N37" s="33">
        <f t="shared" si="13"/>
        <v>23014</v>
      </c>
      <c r="O37" s="35">
        <f t="shared" si="11"/>
        <v>47573</v>
      </c>
      <c r="P37" s="35">
        <f t="shared" si="12"/>
        <v>24559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>
      <c r="B38" s="1">
        <v>44562</v>
      </c>
      <c r="C38" s="3">
        <v>2061119</v>
      </c>
      <c r="D38" s="1">
        <v>44562</v>
      </c>
      <c r="E38" s="3">
        <v>1302816</v>
      </c>
      <c r="F38" s="1">
        <v>44562</v>
      </c>
      <c r="G38" s="3">
        <v>1155507</v>
      </c>
      <c r="H38" s="3"/>
      <c r="I38" s="4">
        <v>44562</v>
      </c>
      <c r="J38" s="3">
        <f t="shared" si="7"/>
        <v>595834</v>
      </c>
      <c r="K38" s="3">
        <f t="shared" si="8"/>
        <v>455124.6</v>
      </c>
      <c r="L38" s="3">
        <f t="shared" si="9"/>
        <v>307818.90000000002</v>
      </c>
      <c r="M38" s="33">
        <f t="shared" si="10"/>
        <v>288015.09999999998</v>
      </c>
      <c r="N38" s="33">
        <f t="shared" si="13"/>
        <v>21081</v>
      </c>
      <c r="O38" s="35">
        <f t="shared" si="11"/>
        <v>45193</v>
      </c>
      <c r="P38" s="35">
        <f t="shared" si="12"/>
        <v>24112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>
      <c r="B39" s="1">
        <v>44927</v>
      </c>
      <c r="C39" s="3">
        <v>2104482</v>
      </c>
      <c r="D39" s="1">
        <v>44927</v>
      </c>
      <c r="E39" s="3">
        <v>1332404</v>
      </c>
      <c r="F39" s="1">
        <v>44927</v>
      </c>
      <c r="G39" s="3">
        <v>1179641</v>
      </c>
      <c r="H39" s="3"/>
      <c r="I39" s="4">
        <v>44927</v>
      </c>
      <c r="J39" s="3">
        <f t="shared" si="7"/>
        <v>639197</v>
      </c>
      <c r="K39" s="3">
        <f t="shared" si="8"/>
        <v>484712.6</v>
      </c>
      <c r="L39" s="3">
        <f t="shared" si="9"/>
        <v>331952.90000000002</v>
      </c>
      <c r="M39" s="33">
        <f t="shared" si="10"/>
        <v>307244.09999999998</v>
      </c>
      <c r="N39" s="33">
        <f t="shared" si="13"/>
        <v>19229</v>
      </c>
      <c r="O39" s="35">
        <f t="shared" si="11"/>
        <v>43363</v>
      </c>
      <c r="P39" s="35">
        <f t="shared" si="12"/>
        <v>24134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>
      <c r="B40" s="1">
        <v>45292</v>
      </c>
      <c r="C40" s="3">
        <v>2146245</v>
      </c>
      <c r="D40" s="1">
        <v>45292</v>
      </c>
      <c r="E40" s="3">
        <v>1360519</v>
      </c>
      <c r="F40" s="1">
        <v>45292</v>
      </c>
      <c r="G40" s="3">
        <v>1203857</v>
      </c>
      <c r="H40" s="3"/>
      <c r="I40" s="4">
        <v>45292</v>
      </c>
      <c r="J40" s="3">
        <f t="shared" si="7"/>
        <v>680960</v>
      </c>
      <c r="K40" s="3">
        <f t="shared" si="8"/>
        <v>512827.6</v>
      </c>
      <c r="L40" s="3">
        <f t="shared" si="9"/>
        <v>356168.9</v>
      </c>
      <c r="M40" s="33">
        <f t="shared" si="10"/>
        <v>324791.09999999998</v>
      </c>
      <c r="N40" s="33">
        <f t="shared" si="13"/>
        <v>17547</v>
      </c>
      <c r="O40" s="35">
        <f t="shared" si="11"/>
        <v>41763</v>
      </c>
      <c r="P40" s="35">
        <f t="shared" si="12"/>
        <v>24216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>
      <c r="B41" s="1">
        <v>45658</v>
      </c>
      <c r="C41" s="3">
        <v>2186698</v>
      </c>
      <c r="D41" s="1">
        <v>45658</v>
      </c>
      <c r="E41" s="3">
        <v>1387445</v>
      </c>
      <c r="F41" s="1">
        <v>45658</v>
      </c>
      <c r="G41" s="3">
        <v>1228126</v>
      </c>
      <c r="H41" s="3"/>
      <c r="I41" s="4">
        <v>45658</v>
      </c>
      <c r="J41" s="3">
        <f t="shared" si="7"/>
        <v>721413</v>
      </c>
      <c r="K41" s="3">
        <f t="shared" si="8"/>
        <v>539753.6</v>
      </c>
      <c r="L41" s="3">
        <f t="shared" si="9"/>
        <v>380437.9</v>
      </c>
      <c r="M41" s="33">
        <f t="shared" si="10"/>
        <v>340975.1</v>
      </c>
      <c r="N41" s="33">
        <f t="shared" si="13"/>
        <v>16184</v>
      </c>
      <c r="O41" s="35">
        <f t="shared" si="11"/>
        <v>40453</v>
      </c>
      <c r="P41" s="35">
        <f t="shared" si="12"/>
        <v>24269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3"/>
      <c r="N42" s="33"/>
      <c r="O42" s="35"/>
      <c r="P42" s="35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3"/>
      <c r="N43" s="33"/>
      <c r="O43" s="35"/>
      <c r="P43" s="35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>
      <c r="G44" s="5"/>
      <c r="K44" s="3">
        <f>J41-L41</f>
        <v>340975.1</v>
      </c>
      <c r="M44" s="33"/>
      <c r="N44" s="33"/>
      <c r="O44" s="35"/>
      <c r="P44" s="35"/>
      <c r="R44" s="3" t="s">
        <v>54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>
      <c r="A45" t="s">
        <v>6</v>
      </c>
      <c r="G45" t="s">
        <v>1</v>
      </c>
      <c r="H45" t="s">
        <v>43</v>
      </c>
      <c r="I45" t="s">
        <v>44</v>
      </c>
      <c r="J45" t="s">
        <v>46</v>
      </c>
      <c r="M45" s="33"/>
      <c r="N45" s="33"/>
      <c r="O45" s="35" t="s">
        <v>52</v>
      </c>
      <c r="P45" s="35" t="s">
        <v>45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>
      <c r="F46" s="1">
        <v>40918</v>
      </c>
      <c r="G46" s="3">
        <v>8996.7209999999995</v>
      </c>
      <c r="H46" s="3">
        <f>G46</f>
        <v>8996.7209999999995</v>
      </c>
      <c r="I46">
        <v>0</v>
      </c>
      <c r="J46" s="3">
        <f>H46-I46</f>
        <v>8996.7209999999995</v>
      </c>
      <c r="K46" s="3"/>
      <c r="L46" s="3"/>
      <c r="M46" s="33"/>
      <c r="N46" s="3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1:48">
      <c r="F47" s="1">
        <v>41061</v>
      </c>
      <c r="G47" s="3">
        <v>151021.4</v>
      </c>
      <c r="H47" s="3">
        <f>G47-G46</f>
        <v>142024.679</v>
      </c>
      <c r="I47" s="32">
        <f t="shared" ref="I47:I62" si="14">N26+N4</f>
        <v>10109.29999999993</v>
      </c>
      <c r="J47" s="3">
        <f t="shared" ref="J47:J62" si="15">H47-I47</f>
        <v>131915.37900000007</v>
      </c>
      <c r="K47" s="3"/>
      <c r="L47" s="3">
        <f>G47-G46</f>
        <v>142024.679</v>
      </c>
      <c r="M47" s="33"/>
      <c r="N47" s="3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1:48">
      <c r="F48" s="1">
        <v>41062</v>
      </c>
      <c r="G48" s="3">
        <v>151965.70000000001</v>
      </c>
      <c r="H48" s="3">
        <f>G48-G47</f>
        <v>944.30000000001746</v>
      </c>
      <c r="I48" s="32">
        <f t="shared" si="14"/>
        <v>76</v>
      </c>
      <c r="J48" s="3">
        <f t="shared" si="15"/>
        <v>868.30000000001746</v>
      </c>
      <c r="K48" s="3"/>
      <c r="L48" s="3">
        <f t="shared" ref="L48:L62" si="16">G48-G47+L47</f>
        <v>142968.97900000002</v>
      </c>
      <c r="M48" s="33"/>
      <c r="N48" s="3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2:48">
      <c r="F49" s="1">
        <v>41275</v>
      </c>
      <c r="G49" s="3">
        <v>308942.90000000002</v>
      </c>
      <c r="H49" s="3">
        <f>G49-G48</f>
        <v>156977.20000000001</v>
      </c>
      <c r="I49" s="32">
        <f t="shared" si="14"/>
        <v>20933.400000000023</v>
      </c>
      <c r="J49" s="3">
        <f t="shared" si="15"/>
        <v>136043.79999999999</v>
      </c>
      <c r="K49" s="3"/>
      <c r="L49" s="3">
        <f t="shared" si="16"/>
        <v>299946.179</v>
      </c>
      <c r="M49" s="33"/>
      <c r="N49" s="3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2:48">
      <c r="F50" s="1">
        <v>41426</v>
      </c>
      <c r="G50" s="3">
        <v>383865.1</v>
      </c>
      <c r="H50" s="3">
        <f t="shared" ref="H50:H62" si="17">G50-G49</f>
        <v>74922.199999999953</v>
      </c>
      <c r="I50" s="32">
        <f t="shared" si="14"/>
        <v>18665.800000000047</v>
      </c>
      <c r="J50" s="3">
        <f t="shared" si="15"/>
        <v>56256.399999999907</v>
      </c>
      <c r="K50" s="3"/>
      <c r="L50" s="3">
        <f t="shared" si="16"/>
        <v>374868.37899999996</v>
      </c>
      <c r="M50" s="33"/>
      <c r="N50" s="3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2:48">
      <c r="B51" s="3"/>
      <c r="C51" s="3"/>
      <c r="F51" s="1">
        <v>41640</v>
      </c>
      <c r="G51" s="3">
        <v>467674.5</v>
      </c>
      <c r="H51" s="3">
        <f t="shared" si="17"/>
        <v>83809.400000000023</v>
      </c>
      <c r="I51" s="32">
        <f t="shared" si="14"/>
        <v>27670.29999999993</v>
      </c>
      <c r="J51" s="3">
        <f t="shared" si="15"/>
        <v>56139.100000000093</v>
      </c>
      <c r="K51" s="3"/>
      <c r="L51" s="3">
        <f t="shared" si="16"/>
        <v>458677.77899999998</v>
      </c>
      <c r="M51" s="33"/>
      <c r="N51" s="3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2:48">
      <c r="B52" s="3"/>
      <c r="C52" s="3"/>
      <c r="F52" s="1">
        <v>42005</v>
      </c>
      <c r="G52" s="3">
        <v>550275.5</v>
      </c>
      <c r="H52" s="3">
        <f t="shared" si="17"/>
        <v>82601</v>
      </c>
      <c r="I52" s="32">
        <f t="shared" si="14"/>
        <v>43320.600000000093</v>
      </c>
      <c r="J52" s="3">
        <f t="shared" si="15"/>
        <v>39280.399999999907</v>
      </c>
      <c r="K52" s="3"/>
      <c r="L52" s="3">
        <f t="shared" si="16"/>
        <v>541278.77899999998</v>
      </c>
      <c r="M52" s="33"/>
      <c r="N52" s="3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2:48">
      <c r="B53" s="3"/>
      <c r="C53" s="3"/>
      <c r="F53" s="1">
        <v>42370</v>
      </c>
      <c r="G53" s="3">
        <v>606799.4</v>
      </c>
      <c r="H53" s="3">
        <f t="shared" si="17"/>
        <v>56523.900000000023</v>
      </c>
      <c r="I53" s="32">
        <f t="shared" si="14"/>
        <v>37188.699999999953</v>
      </c>
      <c r="J53" s="3">
        <f t="shared" si="15"/>
        <v>19335.20000000007</v>
      </c>
      <c r="K53" s="3"/>
      <c r="L53" s="3">
        <f t="shared" si="16"/>
        <v>597802.679</v>
      </c>
      <c r="M53" s="33"/>
      <c r="N53" s="3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2:48">
      <c r="B54" s="3"/>
      <c r="C54" s="3"/>
      <c r="F54" s="1">
        <v>42736</v>
      </c>
      <c r="G54" s="3">
        <v>651494.30000000005</v>
      </c>
      <c r="H54" s="3">
        <f t="shared" si="17"/>
        <v>44694.900000000023</v>
      </c>
      <c r="I54" s="32">
        <f t="shared" si="14"/>
        <v>34131</v>
      </c>
      <c r="J54" s="3">
        <f t="shared" si="15"/>
        <v>10563.900000000023</v>
      </c>
      <c r="K54" s="3"/>
      <c r="L54" s="3">
        <f t="shared" si="16"/>
        <v>642497.57900000003</v>
      </c>
      <c r="M54" s="33"/>
      <c r="N54" s="3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2:48">
      <c r="B55" s="3"/>
      <c r="C55" s="3"/>
      <c r="F55" s="1">
        <v>43101</v>
      </c>
      <c r="G55" s="3">
        <v>687060.1</v>
      </c>
      <c r="H55" s="3">
        <f t="shared" si="17"/>
        <v>35565.79999999993</v>
      </c>
      <c r="I55" s="32">
        <f t="shared" si="14"/>
        <v>32033</v>
      </c>
      <c r="J55" s="3">
        <f t="shared" si="15"/>
        <v>3532.7999999999302</v>
      </c>
      <c r="K55" s="3"/>
      <c r="L55" s="3">
        <f t="shared" si="16"/>
        <v>678063.37899999996</v>
      </c>
      <c r="M55" s="33"/>
      <c r="N55" s="3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2:48">
      <c r="B56" s="3"/>
      <c r="C56" s="3"/>
      <c r="F56" s="1">
        <v>43466</v>
      </c>
      <c r="G56" s="3">
        <v>717029.1</v>
      </c>
      <c r="H56" s="3">
        <f t="shared" si="17"/>
        <v>29969</v>
      </c>
      <c r="I56" s="32">
        <f t="shared" si="14"/>
        <v>29125</v>
      </c>
      <c r="J56" s="3">
        <f t="shared" si="15"/>
        <v>844</v>
      </c>
      <c r="K56" s="3"/>
      <c r="L56" s="3">
        <f t="shared" si="16"/>
        <v>708032.37899999996</v>
      </c>
      <c r="M56" s="33"/>
      <c r="N56" s="3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2:48">
      <c r="B57" s="3"/>
      <c r="C57" s="3"/>
      <c r="F57" s="1">
        <v>43831</v>
      </c>
      <c r="G57" s="3">
        <v>742133.5</v>
      </c>
      <c r="H57" s="3">
        <f t="shared" si="17"/>
        <v>25104.400000000023</v>
      </c>
      <c r="I57" s="32">
        <f t="shared" si="14"/>
        <v>26225</v>
      </c>
      <c r="J57" s="3">
        <f t="shared" si="15"/>
        <v>-1120.5999999999767</v>
      </c>
      <c r="K57" s="3"/>
      <c r="L57" s="3">
        <f t="shared" si="16"/>
        <v>733136.77899999998</v>
      </c>
      <c r="M57" s="33"/>
      <c r="N57" s="3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2:48">
      <c r="B58" s="3"/>
      <c r="C58" s="3"/>
      <c r="F58" s="1">
        <v>44197</v>
      </c>
      <c r="G58" s="3">
        <v>763206.2</v>
      </c>
      <c r="H58" s="3">
        <f t="shared" si="17"/>
        <v>21072.699999999953</v>
      </c>
      <c r="I58" s="32">
        <f t="shared" si="14"/>
        <v>24002</v>
      </c>
      <c r="J58" s="3">
        <f t="shared" si="15"/>
        <v>-2929.3000000000466</v>
      </c>
      <c r="K58" s="3"/>
      <c r="L58" s="3">
        <f t="shared" si="16"/>
        <v>754209.47899999993</v>
      </c>
      <c r="M58" s="33"/>
      <c r="N58" s="3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2:48">
      <c r="B59" s="3"/>
      <c r="C59" s="3"/>
      <c r="F59" s="1">
        <v>44562</v>
      </c>
      <c r="G59" s="3">
        <v>781815.2</v>
      </c>
      <c r="H59" s="3">
        <f t="shared" si="17"/>
        <v>18609</v>
      </c>
      <c r="I59" s="32">
        <f t="shared" si="14"/>
        <v>22011</v>
      </c>
      <c r="J59" s="3">
        <f t="shared" si="15"/>
        <v>-3402</v>
      </c>
      <c r="K59" s="3"/>
      <c r="L59" s="3">
        <f t="shared" si="16"/>
        <v>772818.47899999993</v>
      </c>
      <c r="M59" s="33"/>
      <c r="N59" s="3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2:48">
      <c r="B60" s="3"/>
      <c r="C60" s="3"/>
      <c r="F60" s="1">
        <v>44927</v>
      </c>
      <c r="G60" s="3">
        <v>798556.4</v>
      </c>
      <c r="H60" s="3">
        <f t="shared" si="17"/>
        <v>16741.20000000007</v>
      </c>
      <c r="I60" s="32">
        <f t="shared" si="14"/>
        <v>20031</v>
      </c>
      <c r="J60" s="3">
        <f t="shared" si="15"/>
        <v>-3289.7999999999302</v>
      </c>
      <c r="K60" s="3"/>
      <c r="L60" s="3">
        <f t="shared" si="16"/>
        <v>789559.679</v>
      </c>
      <c r="M60" s="33"/>
      <c r="N60" s="3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2:48">
      <c r="B61" s="3"/>
      <c r="C61" s="3"/>
      <c r="F61" s="1">
        <v>45292</v>
      </c>
      <c r="G61" s="3">
        <v>813682.3</v>
      </c>
      <c r="H61" s="3">
        <f t="shared" si="17"/>
        <v>15125.900000000023</v>
      </c>
      <c r="I61" s="32">
        <f t="shared" si="14"/>
        <v>18131</v>
      </c>
      <c r="J61" s="3">
        <f t="shared" si="15"/>
        <v>-3005.0999999999767</v>
      </c>
      <c r="K61" s="3"/>
      <c r="L61" s="3">
        <f t="shared" si="16"/>
        <v>804685.57900000003</v>
      </c>
      <c r="M61" s="33"/>
      <c r="N61" s="3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2:48">
      <c r="B62" s="3"/>
      <c r="C62" s="3"/>
      <c r="F62" s="1">
        <v>45658</v>
      </c>
      <c r="G62" s="3">
        <v>827440.8</v>
      </c>
      <c r="H62" s="3">
        <f t="shared" si="17"/>
        <v>13758.5</v>
      </c>
      <c r="I62" s="32">
        <f t="shared" si="14"/>
        <v>16568</v>
      </c>
      <c r="J62" s="3">
        <f t="shared" si="15"/>
        <v>-2809.5</v>
      </c>
      <c r="K62" s="3"/>
      <c r="L62" s="3">
        <f t="shared" si="16"/>
        <v>818444.07900000003</v>
      </c>
      <c r="M62" s="33"/>
      <c r="N62" s="33"/>
      <c r="O62" s="35"/>
      <c r="P62" s="35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2:48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3"/>
      <c r="N63" s="33"/>
      <c r="O63" s="35"/>
      <c r="P63" s="35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2:48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3"/>
      <c r="N64" s="33"/>
      <c r="O64" s="35"/>
      <c r="P64" s="35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</row>
    <row r="65" spans="2:48">
      <c r="B65" s="3"/>
      <c r="C65" s="3"/>
      <c r="F65" s="3"/>
      <c r="G65" s="3"/>
      <c r="H65" s="3"/>
      <c r="I65" s="3"/>
      <c r="J65" s="3"/>
      <c r="K65" s="3"/>
      <c r="L65" s="3"/>
      <c r="M65" s="33"/>
      <c r="N65" s="33"/>
      <c r="O65" s="35"/>
      <c r="P65" s="35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</row>
    <row r="66" spans="2:48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3"/>
      <c r="N66" s="33"/>
      <c r="O66" s="35"/>
      <c r="P66" s="35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</row>
    <row r="67" spans="2:48">
      <c r="B67" s="3"/>
      <c r="C67" s="3"/>
      <c r="D67" s="3"/>
      <c r="E67" s="3"/>
      <c r="F67" s="3"/>
      <c r="G67" s="3"/>
      <c r="H67" s="3"/>
      <c r="I67" s="3"/>
      <c r="J67" s="3" t="s">
        <v>8</v>
      </c>
      <c r="K67" s="3" t="s">
        <v>9</v>
      </c>
      <c r="L67" s="3"/>
      <c r="M67" s="33"/>
      <c r="N67" s="33"/>
      <c r="O67" s="35"/>
      <c r="P67" s="35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</row>
    <row r="68" spans="2:48">
      <c r="B68" s="3"/>
      <c r="C68" s="3"/>
      <c r="D68" s="3"/>
      <c r="E68" s="3"/>
      <c r="F68" s="3"/>
      <c r="G68" s="3"/>
      <c r="H68" s="3"/>
      <c r="I68" s="3" t="s">
        <v>2</v>
      </c>
      <c r="J68" s="3">
        <f>J41+J19</f>
        <v>1268413</v>
      </c>
      <c r="K68" s="3">
        <v>0</v>
      </c>
      <c r="L68" s="3"/>
      <c r="M68" s="33"/>
      <c r="N68" s="33"/>
      <c r="O68" s="35"/>
      <c r="P68" s="35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</row>
    <row r="69" spans="2:48">
      <c r="B69" s="3"/>
      <c r="C69" s="3"/>
      <c r="D69" s="3"/>
      <c r="E69" s="3"/>
      <c r="F69" s="1"/>
      <c r="G69" s="3"/>
      <c r="H69" s="3"/>
      <c r="I69" s="3" t="s">
        <v>7</v>
      </c>
      <c r="J69" s="3">
        <f>K41+K19</f>
        <v>1018049.6</v>
      </c>
      <c r="K69" s="3">
        <f>J69-J68</f>
        <v>-250363.40000000002</v>
      </c>
      <c r="L69" s="3"/>
      <c r="M69" s="33"/>
      <c r="N69" s="33"/>
      <c r="O69" s="35"/>
      <c r="P69" s="35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</row>
    <row r="70" spans="2:48">
      <c r="B70" s="3"/>
      <c r="C70" s="3"/>
      <c r="F70" s="1"/>
      <c r="G70" s="3"/>
      <c r="H70" s="3"/>
      <c r="I70" s="3" t="s">
        <v>6</v>
      </c>
      <c r="J70" s="3">
        <f>L41+L19+G62</f>
        <v>1715632.7000000002</v>
      </c>
      <c r="K70" s="3">
        <f>J70-J68</f>
        <v>447219.70000000019</v>
      </c>
      <c r="L70" s="3"/>
      <c r="M70" s="33"/>
      <c r="N70" s="33"/>
      <c r="O70" s="35"/>
      <c r="P70" s="35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</row>
    <row r="71" spans="2:48">
      <c r="B71" s="3"/>
      <c r="C71" s="3"/>
      <c r="D71" s="3"/>
      <c r="E71" s="3"/>
      <c r="F71" s="1"/>
      <c r="G71" s="3"/>
      <c r="H71" s="3"/>
      <c r="I71" s="3"/>
      <c r="J71" s="3"/>
      <c r="K71" s="3"/>
      <c r="L71" s="3"/>
      <c r="M71" s="33"/>
      <c r="N71" s="33"/>
      <c r="O71" s="35"/>
      <c r="P71" s="35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2:48">
      <c r="B72" s="3"/>
      <c r="C72" s="3"/>
      <c r="D72" s="3"/>
      <c r="E72" s="3"/>
      <c r="F72" s="1"/>
      <c r="G72" s="3"/>
      <c r="H72" s="3"/>
      <c r="I72" s="3"/>
      <c r="J72" s="3"/>
      <c r="K72" s="3"/>
      <c r="L72" s="3"/>
      <c r="M72" s="33"/>
      <c r="N72" s="33"/>
      <c r="O72" s="35"/>
      <c r="P72" s="35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2:48">
      <c r="B73" s="3"/>
      <c r="C73" s="3"/>
      <c r="D73" s="3"/>
      <c r="E73" s="3"/>
      <c r="F73" s="1"/>
      <c r="G73" s="3"/>
      <c r="H73" s="3"/>
      <c r="I73" s="3"/>
      <c r="J73" s="3"/>
      <c r="K73" s="3"/>
      <c r="L73" s="3"/>
      <c r="M73" s="33"/>
      <c r="N73" s="33"/>
      <c r="O73" s="35"/>
      <c r="P73" s="35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2:48">
      <c r="B74" s="3"/>
      <c r="C74" s="3"/>
      <c r="D74" s="3"/>
      <c r="E74" s="3"/>
      <c r="F74" s="1"/>
      <c r="G74" s="3"/>
      <c r="H74" s="3"/>
      <c r="I74" s="3"/>
      <c r="J74" s="3"/>
      <c r="K74" s="3"/>
      <c r="L74" s="3"/>
      <c r="M74" s="33"/>
      <c r="N74" s="33"/>
      <c r="O74" s="35"/>
      <c r="P74" s="35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2:48">
      <c r="B75" s="3"/>
      <c r="C75" s="3"/>
      <c r="D75" s="3"/>
      <c r="E75" s="3"/>
      <c r="F75" s="1"/>
      <c r="G75" s="3"/>
      <c r="H75" s="3"/>
      <c r="I75" s="3"/>
      <c r="J75" s="3"/>
      <c r="K75" s="3"/>
      <c r="L75" s="3"/>
      <c r="M75" s="33"/>
      <c r="N75" s="33"/>
      <c r="O75" s="35"/>
      <c r="P75" s="35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2:48">
      <c r="B76" s="3"/>
      <c r="C76" s="3"/>
      <c r="D76" s="3"/>
      <c r="E76" s="3"/>
      <c r="F76" s="1"/>
      <c r="G76" s="3"/>
      <c r="H76" s="3"/>
      <c r="I76" s="3"/>
      <c r="J76" s="3"/>
      <c r="K76" s="3"/>
      <c r="L76" s="3"/>
      <c r="M76" s="33"/>
      <c r="N76" s="33"/>
      <c r="O76" s="35"/>
      <c r="P76" s="35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2:48">
      <c r="B77" s="3"/>
      <c r="C77" s="3"/>
      <c r="D77" s="3"/>
      <c r="E77" s="3"/>
      <c r="F77" s="1"/>
      <c r="G77" s="3"/>
      <c r="H77" s="3"/>
      <c r="I77" s="3"/>
      <c r="J77" s="3"/>
      <c r="K77" s="3"/>
      <c r="L77" s="3"/>
      <c r="M77" s="33"/>
      <c r="N77" s="33"/>
      <c r="O77" s="35"/>
      <c r="P77" s="35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2:48">
      <c r="B78" s="3"/>
      <c r="C78" s="3"/>
      <c r="D78" s="3"/>
      <c r="E78" s="3"/>
      <c r="F78" s="1"/>
      <c r="G78" s="3"/>
      <c r="H78" s="3"/>
      <c r="I78" s="3"/>
      <c r="J78" s="3"/>
      <c r="K78" s="3"/>
      <c r="L78" s="3"/>
      <c r="M78" s="33"/>
      <c r="N78" s="33"/>
      <c r="O78" s="35"/>
      <c r="P78" s="35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2:48">
      <c r="B79" s="3"/>
      <c r="C79" s="3"/>
      <c r="D79" s="3"/>
      <c r="E79" s="3"/>
      <c r="F79" s="1"/>
      <c r="G79" s="3"/>
      <c r="H79" s="3"/>
      <c r="I79" s="3"/>
      <c r="J79" s="3"/>
      <c r="K79" s="3"/>
      <c r="L79" s="3"/>
      <c r="M79" s="33"/>
      <c r="N79" s="33"/>
      <c r="O79" s="35"/>
      <c r="P79" s="35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2:48">
      <c r="B80" s="3"/>
      <c r="C80" s="3"/>
      <c r="D80" s="3"/>
      <c r="E80" s="3"/>
      <c r="F80" s="1"/>
      <c r="G80" s="3"/>
      <c r="H80" s="3"/>
      <c r="I80" s="3"/>
      <c r="J80" s="3"/>
      <c r="K80" s="3"/>
      <c r="L80" s="3"/>
      <c r="M80" s="33"/>
      <c r="N80" s="33"/>
      <c r="O80" s="35"/>
      <c r="P80" s="35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2:48">
      <c r="B81" s="3"/>
      <c r="C81" s="3"/>
      <c r="D81" s="3"/>
      <c r="E81" s="3"/>
      <c r="F81" s="1"/>
      <c r="G81" s="3"/>
      <c r="H81" s="3"/>
      <c r="I81" s="3"/>
      <c r="J81" s="3"/>
      <c r="K81" s="3"/>
      <c r="L81" s="3"/>
      <c r="M81" s="33"/>
      <c r="N81" s="33"/>
      <c r="O81" s="35"/>
      <c r="P81" s="35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2:48">
      <c r="B82" s="3"/>
      <c r="C82" s="3"/>
      <c r="D82" s="3"/>
      <c r="E82" s="3"/>
      <c r="F82" s="1"/>
      <c r="G82" s="3"/>
      <c r="H82" s="3"/>
      <c r="I82" s="3"/>
      <c r="J82" s="3"/>
      <c r="K82" s="3"/>
      <c r="L82" s="3"/>
      <c r="M82" s="33"/>
      <c r="N82" s="33"/>
      <c r="O82" s="35"/>
      <c r="P82" s="35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2:48">
      <c r="B83" s="3"/>
      <c r="C83" s="3"/>
      <c r="D83" s="3"/>
      <c r="E83" s="3"/>
      <c r="F83" s="1"/>
      <c r="G83" s="3"/>
      <c r="H83" s="3"/>
      <c r="I83" s="3"/>
      <c r="J83" s="3"/>
      <c r="K83" s="3"/>
      <c r="L83" s="3"/>
      <c r="M83" s="33"/>
      <c r="N83" s="33"/>
      <c r="O83" s="35"/>
      <c r="P83" s="35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2:48">
      <c r="B84" s="3"/>
      <c r="C84" s="3"/>
      <c r="D84" s="3"/>
      <c r="E84" s="3"/>
      <c r="F84" s="1"/>
      <c r="G84" s="3"/>
      <c r="H84" s="3"/>
      <c r="I84" s="3"/>
      <c r="J84" s="3"/>
      <c r="K84" s="3"/>
      <c r="L84" s="3"/>
      <c r="M84" s="33"/>
      <c r="N84" s="33"/>
      <c r="O84" s="35"/>
      <c r="P84" s="35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2:48">
      <c r="B85" s="3"/>
      <c r="C85" s="3"/>
      <c r="D85" s="3"/>
      <c r="E85" s="3"/>
      <c r="F85" s="1"/>
      <c r="G85" s="3"/>
      <c r="H85" s="3"/>
      <c r="I85" s="3"/>
      <c r="J85" s="3"/>
      <c r="K85" s="3"/>
      <c r="L85" s="3"/>
      <c r="M85" s="33"/>
      <c r="N85" s="33"/>
      <c r="O85" s="35"/>
      <c r="P85" s="35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2:48">
      <c r="B86" s="3"/>
      <c r="C86" s="3"/>
      <c r="D86" s="3"/>
      <c r="E86" s="3"/>
      <c r="F86" s="1"/>
      <c r="G86" s="3"/>
      <c r="H86" s="3"/>
      <c r="I86" s="3"/>
      <c r="J86" s="3"/>
      <c r="K86" s="3"/>
      <c r="L86" s="3"/>
      <c r="M86" s="33"/>
      <c r="N86" s="33"/>
      <c r="O86" s="35"/>
      <c r="P86" s="35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2:48">
      <c r="B87" s="3"/>
      <c r="C87" s="3"/>
      <c r="D87" s="3"/>
      <c r="E87" s="3"/>
      <c r="F87" s="1"/>
      <c r="G87" s="3"/>
      <c r="H87" s="3"/>
      <c r="I87" s="3"/>
      <c r="J87" s="3"/>
      <c r="K87" s="3"/>
      <c r="L87" s="3"/>
      <c r="M87" s="33"/>
      <c r="N87" s="33"/>
      <c r="O87" s="35"/>
      <c r="P87" s="35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2:48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3"/>
      <c r="N88" s="33"/>
      <c r="O88" s="35"/>
      <c r="P88" s="35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2:48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3"/>
      <c r="N89" s="33"/>
      <c r="O89" s="35"/>
      <c r="P89" s="35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2:48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3"/>
      <c r="N90" s="33"/>
      <c r="O90" s="35"/>
      <c r="P90" s="35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2:48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3"/>
      <c r="N91" s="33"/>
      <c r="O91" s="35"/>
      <c r="P91" s="35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2:48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3"/>
      <c r="N92" s="33"/>
      <c r="O92" s="35"/>
      <c r="P92" s="35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2:48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3"/>
      <c r="N93" s="33"/>
      <c r="O93" s="35"/>
      <c r="P93" s="35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2:48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3"/>
      <c r="N94" s="33"/>
      <c r="O94" s="35"/>
      <c r="P94" s="35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2:48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3"/>
      <c r="N95" s="33"/>
      <c r="O95" s="35"/>
      <c r="P95" s="35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2:48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3"/>
      <c r="N96" s="33"/>
      <c r="O96" s="35"/>
      <c r="P96" s="35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2:48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3"/>
      <c r="N97" s="33"/>
      <c r="O97" s="35"/>
      <c r="P97" s="35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2:48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3"/>
      <c r="N98" s="33"/>
      <c r="O98" s="35"/>
      <c r="P98" s="35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spans="2:48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3"/>
      <c r="N99" s="33"/>
      <c r="O99" s="35"/>
      <c r="P99" s="35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spans="2:48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3"/>
      <c r="N100" s="33"/>
      <c r="O100" s="35"/>
      <c r="P100" s="35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2:48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3"/>
      <c r="N101" s="33"/>
      <c r="O101" s="35"/>
      <c r="P101" s="35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2:48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3"/>
      <c r="N102" s="33"/>
      <c r="O102" s="35"/>
      <c r="P102" s="35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</sheetData>
  <pageMargins left="0.7" right="0.7" top="0.75" bottom="0.75" header="0.3" footer="0.3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9"/>
  <sheetViews>
    <sheetView tabSelected="1" topLeftCell="J1" workbookViewId="0">
      <selection activeCell="X22" sqref="X22"/>
    </sheetView>
  </sheetViews>
  <sheetFormatPr baseColWidth="10" defaultColWidth="8.83203125" defaultRowHeight="14" x14ac:dyDescent="0"/>
  <cols>
    <col min="3" max="3" width="10.1640625" style="11" bestFit="1" customWidth="1"/>
    <col min="4" max="4" width="14" style="11" customWidth="1"/>
    <col min="5" max="5" width="18" style="13" customWidth="1"/>
    <col min="6" max="6" width="8.83203125" style="13"/>
    <col min="7" max="7" width="10.1640625" style="9" bestFit="1" customWidth="1"/>
    <col min="8" max="8" width="8.83203125" style="9"/>
  </cols>
  <sheetData>
    <row r="2" spans="1:14">
      <c r="A2" t="s">
        <v>4</v>
      </c>
    </row>
    <row r="3" spans="1:14">
      <c r="C3" s="11" t="s">
        <v>2</v>
      </c>
      <c r="E3" s="13" t="s">
        <v>7</v>
      </c>
      <c r="G3" s="9" t="s">
        <v>6</v>
      </c>
    </row>
    <row r="4" spans="1:14">
      <c r="C4" s="12">
        <v>40918</v>
      </c>
      <c r="D4" s="11">
        <v>8770349</v>
      </c>
      <c r="E4" s="14">
        <v>40918</v>
      </c>
      <c r="F4" s="13">
        <v>8966842</v>
      </c>
      <c r="G4" s="10">
        <v>40918</v>
      </c>
      <c r="H4" s="9">
        <v>8966843</v>
      </c>
      <c r="L4" s="6" t="s">
        <v>2</v>
      </c>
      <c r="M4" s="7" t="s">
        <v>7</v>
      </c>
      <c r="N4" s="8" t="s">
        <v>6</v>
      </c>
    </row>
    <row r="5" spans="1:14">
      <c r="C5" s="12">
        <v>41061</v>
      </c>
      <c r="D5" s="11">
        <v>8887968</v>
      </c>
      <c r="E5" s="14">
        <v>41061</v>
      </c>
      <c r="F5" s="13">
        <v>9088876</v>
      </c>
      <c r="G5" s="10">
        <v>41061</v>
      </c>
      <c r="H5" s="9">
        <v>9088865</v>
      </c>
      <c r="L5" s="6">
        <f>D5-D4</f>
        <v>117619</v>
      </c>
      <c r="M5" s="7">
        <f>F5-F4</f>
        <v>122034</v>
      </c>
      <c r="N5" s="8">
        <f>H5-H4</f>
        <v>122022</v>
      </c>
    </row>
    <row r="6" spans="1:14">
      <c r="C6" s="12">
        <v>41062</v>
      </c>
      <c r="D6" s="11">
        <v>8888794</v>
      </c>
      <c r="E6" s="14">
        <v>41062</v>
      </c>
      <c r="F6" s="13">
        <v>9089732</v>
      </c>
      <c r="G6" s="10">
        <v>41062</v>
      </c>
      <c r="H6" s="9">
        <v>9089721</v>
      </c>
      <c r="L6" s="6">
        <f>D6-D5+L5</f>
        <v>118445</v>
      </c>
      <c r="M6" s="7">
        <f t="shared" ref="M6:M20" si="0">F6-F5+M5</f>
        <v>122890</v>
      </c>
      <c r="N6" s="8">
        <f t="shared" ref="N6:N20" si="1">H6-H5+N5</f>
        <v>122878</v>
      </c>
    </row>
    <row r="7" spans="1:14">
      <c r="C7" s="12">
        <v>41275</v>
      </c>
      <c r="D7" s="11">
        <v>9065732</v>
      </c>
      <c r="E7" s="14">
        <v>41275</v>
      </c>
      <c r="F7" s="13">
        <v>9273103</v>
      </c>
      <c r="G7" s="10">
        <v>41275</v>
      </c>
      <c r="H7" s="9">
        <v>9272607</v>
      </c>
      <c r="L7" s="6">
        <f t="shared" ref="L7:L40" si="2">D7-D6+L6</f>
        <v>295383</v>
      </c>
      <c r="M7" s="7">
        <f t="shared" si="0"/>
        <v>306261</v>
      </c>
      <c r="N7" s="8">
        <f t="shared" si="1"/>
        <v>305764</v>
      </c>
    </row>
    <row r="8" spans="1:14">
      <c r="C8" s="12">
        <v>41426</v>
      </c>
      <c r="D8" s="11">
        <v>9192400</v>
      </c>
      <c r="E8" s="14">
        <v>41426</v>
      </c>
      <c r="F8" s="13">
        <v>9404096</v>
      </c>
      <c r="G8" s="10">
        <v>41426</v>
      </c>
      <c r="H8" s="9">
        <v>9402901</v>
      </c>
      <c r="L8" s="6">
        <f t="shared" si="2"/>
        <v>422051</v>
      </c>
      <c r="M8" s="7">
        <f t="shared" si="0"/>
        <v>437254</v>
      </c>
      <c r="N8" s="8">
        <f t="shared" si="1"/>
        <v>436058</v>
      </c>
    </row>
    <row r="9" spans="1:14">
      <c r="C9" s="12">
        <v>41640</v>
      </c>
      <c r="D9" s="11">
        <v>9373588</v>
      </c>
      <c r="E9" s="14">
        <v>41640</v>
      </c>
      <c r="F9" s="13">
        <v>9590910</v>
      </c>
      <c r="G9" s="10">
        <v>41640</v>
      </c>
      <c r="H9" s="9">
        <v>9588523</v>
      </c>
      <c r="L9" s="6">
        <f t="shared" si="2"/>
        <v>603239</v>
      </c>
      <c r="M9" s="7">
        <f t="shared" si="0"/>
        <v>624068</v>
      </c>
      <c r="N9" s="8">
        <f t="shared" si="1"/>
        <v>621680</v>
      </c>
    </row>
    <row r="10" spans="1:14">
      <c r="C10" s="12">
        <v>42005</v>
      </c>
      <c r="D10" s="11">
        <v>9686494</v>
      </c>
      <c r="E10" s="14">
        <v>42005</v>
      </c>
      <c r="F10" s="13">
        <v>9912108</v>
      </c>
      <c r="G10" s="10">
        <v>42005</v>
      </c>
      <c r="H10" s="9">
        <v>9907342</v>
      </c>
      <c r="L10" s="6">
        <f t="shared" si="2"/>
        <v>916145</v>
      </c>
      <c r="M10" s="7">
        <f t="shared" si="0"/>
        <v>945266</v>
      </c>
      <c r="N10" s="8">
        <f t="shared" si="1"/>
        <v>940499</v>
      </c>
    </row>
    <row r="11" spans="1:14">
      <c r="C11" s="12">
        <v>42370</v>
      </c>
      <c r="D11" s="18">
        <v>10003400</v>
      </c>
      <c r="E11" s="14">
        <v>42370</v>
      </c>
      <c r="F11" s="17">
        <v>10235920</v>
      </c>
      <c r="G11" s="10">
        <v>42370</v>
      </c>
      <c r="H11" s="19">
        <v>10228470</v>
      </c>
      <c r="L11" s="6">
        <f t="shared" si="2"/>
        <v>1233051</v>
      </c>
      <c r="M11" s="7">
        <f t="shared" si="0"/>
        <v>1269078</v>
      </c>
      <c r="N11" s="8">
        <f t="shared" si="1"/>
        <v>1261627</v>
      </c>
    </row>
    <row r="12" spans="1:14">
      <c r="C12" s="12">
        <v>42736</v>
      </c>
      <c r="D12" s="18">
        <v>10324440</v>
      </c>
      <c r="E12" s="14">
        <v>42736</v>
      </c>
      <c r="F12" s="17">
        <v>10562810</v>
      </c>
      <c r="G12" s="10">
        <v>42736</v>
      </c>
      <c r="H12" s="19">
        <v>10552360</v>
      </c>
      <c r="L12" s="6">
        <f t="shared" si="2"/>
        <v>1554091</v>
      </c>
      <c r="M12" s="7">
        <f t="shared" si="0"/>
        <v>1595968</v>
      </c>
      <c r="N12" s="8">
        <f t="shared" si="1"/>
        <v>1585517</v>
      </c>
    </row>
    <row r="13" spans="1:14">
      <c r="C13" s="12">
        <v>43101</v>
      </c>
      <c r="D13" s="18">
        <v>10647340</v>
      </c>
      <c r="E13" s="14">
        <v>43101</v>
      </c>
      <c r="F13" s="17">
        <v>10890690</v>
      </c>
      <c r="G13" s="10">
        <v>43101</v>
      </c>
      <c r="H13" s="19">
        <v>10877120</v>
      </c>
      <c r="L13" s="6">
        <f t="shared" si="2"/>
        <v>1876991</v>
      </c>
      <c r="M13" s="7">
        <f t="shared" si="0"/>
        <v>1923848</v>
      </c>
      <c r="N13" s="8">
        <f t="shared" si="1"/>
        <v>1910277</v>
      </c>
    </row>
    <row r="14" spans="1:14">
      <c r="C14" s="12">
        <v>43466</v>
      </c>
      <c r="D14" s="18">
        <v>10972540</v>
      </c>
      <c r="E14" s="14">
        <v>43466</v>
      </c>
      <c r="F14" s="17">
        <v>11220270</v>
      </c>
      <c r="G14" s="10">
        <v>43466</v>
      </c>
      <c r="H14" s="19">
        <v>11203580</v>
      </c>
      <c r="L14" s="6">
        <f t="shared" si="2"/>
        <v>2202191</v>
      </c>
      <c r="M14" s="7">
        <f t="shared" si="0"/>
        <v>2253428</v>
      </c>
      <c r="N14" s="8">
        <f t="shared" si="1"/>
        <v>2236737</v>
      </c>
    </row>
    <row r="15" spans="1:14">
      <c r="C15" s="12">
        <v>43831</v>
      </c>
      <c r="D15" s="18">
        <v>11299740</v>
      </c>
      <c r="E15" s="14">
        <v>43831</v>
      </c>
      <c r="F15" s="17">
        <v>11551470</v>
      </c>
      <c r="G15" s="10">
        <v>43831</v>
      </c>
      <c r="H15" s="19">
        <v>11531790</v>
      </c>
      <c r="L15" s="6">
        <f t="shared" si="2"/>
        <v>2529391</v>
      </c>
      <c r="M15" s="7">
        <f t="shared" si="0"/>
        <v>2584628</v>
      </c>
      <c r="N15" s="8">
        <f t="shared" si="1"/>
        <v>2564947</v>
      </c>
    </row>
    <row r="16" spans="1:14">
      <c r="C16" s="12">
        <v>44197</v>
      </c>
      <c r="D16" s="18">
        <v>11629600</v>
      </c>
      <c r="E16" s="14">
        <v>44197</v>
      </c>
      <c r="F16" s="17">
        <v>11885070</v>
      </c>
      <c r="G16" s="10">
        <v>44197</v>
      </c>
      <c r="H16" s="19">
        <v>11862630</v>
      </c>
      <c r="L16" s="6">
        <f t="shared" si="2"/>
        <v>2859251</v>
      </c>
      <c r="M16" s="7">
        <f t="shared" si="0"/>
        <v>2918228</v>
      </c>
      <c r="N16" s="8">
        <f t="shared" si="1"/>
        <v>2895787</v>
      </c>
    </row>
    <row r="17" spans="1:14">
      <c r="C17" s="12">
        <v>44562</v>
      </c>
      <c r="D17" s="18">
        <v>11960250</v>
      </c>
      <c r="E17" s="14">
        <v>44562</v>
      </c>
      <c r="F17" s="17">
        <v>12219060</v>
      </c>
      <c r="G17" s="10">
        <v>44562</v>
      </c>
      <c r="H17" s="19">
        <v>12194220</v>
      </c>
      <c r="L17" s="6">
        <f t="shared" si="2"/>
        <v>3189901</v>
      </c>
      <c r="M17" s="7">
        <f t="shared" si="0"/>
        <v>3252218</v>
      </c>
      <c r="N17" s="8">
        <f t="shared" si="1"/>
        <v>3227377</v>
      </c>
    </row>
    <row r="18" spans="1:14">
      <c r="C18" s="12">
        <v>44927</v>
      </c>
      <c r="D18" s="18">
        <v>12292660</v>
      </c>
      <c r="E18" s="14">
        <v>44927</v>
      </c>
      <c r="F18" s="17">
        <v>12554220</v>
      </c>
      <c r="G18" s="10">
        <v>44927</v>
      </c>
      <c r="H18" s="19">
        <v>12527430</v>
      </c>
      <c r="L18" s="6">
        <f t="shared" si="2"/>
        <v>3522311</v>
      </c>
      <c r="M18" s="7">
        <f t="shared" si="0"/>
        <v>3587378</v>
      </c>
      <c r="N18" s="8">
        <f t="shared" si="1"/>
        <v>3560587</v>
      </c>
    </row>
    <row r="19" spans="1:14">
      <c r="C19" s="12">
        <v>45292</v>
      </c>
      <c r="D19" s="18">
        <v>12626780</v>
      </c>
      <c r="E19" s="14">
        <v>45292</v>
      </c>
      <c r="F19" s="17">
        <v>12890430</v>
      </c>
      <c r="G19" s="10">
        <v>45292</v>
      </c>
      <c r="H19" s="19">
        <v>12862140</v>
      </c>
      <c r="L19" s="6">
        <f t="shared" si="2"/>
        <v>3856431</v>
      </c>
      <c r="M19" s="7">
        <f t="shared" si="0"/>
        <v>3923588</v>
      </c>
      <c r="N19" s="8">
        <f t="shared" si="1"/>
        <v>3895297</v>
      </c>
    </row>
    <row r="20" spans="1:14">
      <c r="C20" s="12">
        <v>45658</v>
      </c>
      <c r="D20" s="18">
        <v>12963350</v>
      </c>
      <c r="E20" s="14">
        <v>45658</v>
      </c>
      <c r="F20" s="17">
        <v>13228550</v>
      </c>
      <c r="G20" s="10">
        <v>45658</v>
      </c>
      <c r="H20" s="19">
        <v>13199090</v>
      </c>
      <c r="L20" s="6">
        <f t="shared" si="2"/>
        <v>4193001</v>
      </c>
      <c r="M20" s="7">
        <f t="shared" si="0"/>
        <v>4261708</v>
      </c>
      <c r="N20" s="8">
        <f t="shared" si="1"/>
        <v>4232247</v>
      </c>
    </row>
    <row r="21" spans="1:14">
      <c r="L21" s="6"/>
    </row>
    <row r="22" spans="1:14">
      <c r="L22" s="6"/>
    </row>
    <row r="23" spans="1:14">
      <c r="A23" t="s">
        <v>5</v>
      </c>
      <c r="C23" s="11" t="s">
        <v>10</v>
      </c>
      <c r="E23" s="13" t="s">
        <v>7</v>
      </c>
      <c r="G23" s="9" t="s">
        <v>1</v>
      </c>
      <c r="L23" s="6"/>
    </row>
    <row r="24" spans="1:14">
      <c r="C24" s="16">
        <v>40918</v>
      </c>
      <c r="D24" s="11">
        <v>1831780</v>
      </c>
      <c r="E24" s="14">
        <v>40918</v>
      </c>
      <c r="F24" s="13">
        <v>2391667</v>
      </c>
      <c r="G24" s="10">
        <v>40918</v>
      </c>
      <c r="H24" s="9">
        <v>2391671</v>
      </c>
      <c r="L24" s="6" t="s">
        <v>2</v>
      </c>
      <c r="M24" t="s">
        <v>7</v>
      </c>
      <c r="N24" t="s">
        <v>11</v>
      </c>
    </row>
    <row r="25" spans="1:14">
      <c r="C25" s="16">
        <v>41061</v>
      </c>
      <c r="D25" s="11">
        <v>2013568</v>
      </c>
      <c r="E25" s="14">
        <v>41061</v>
      </c>
      <c r="F25" s="13">
        <v>2578930</v>
      </c>
      <c r="G25" s="10">
        <v>41061</v>
      </c>
      <c r="H25" s="9">
        <v>2579165</v>
      </c>
      <c r="L25" s="6">
        <f>D25-D24</f>
        <v>181788</v>
      </c>
      <c r="M25" s="6">
        <f>F25-F24</f>
        <v>187263</v>
      </c>
      <c r="N25" s="6">
        <f>H25-H24</f>
        <v>187494</v>
      </c>
    </row>
    <row r="26" spans="1:14">
      <c r="C26" s="16">
        <v>41062</v>
      </c>
      <c r="D26" s="11">
        <v>2014843</v>
      </c>
      <c r="E26" s="14">
        <v>41062</v>
      </c>
      <c r="F26" s="13">
        <v>2580243</v>
      </c>
      <c r="G26" s="10">
        <v>41062</v>
      </c>
      <c r="H26" s="9">
        <v>2580486</v>
      </c>
      <c r="L26" s="6">
        <f t="shared" si="2"/>
        <v>183063</v>
      </c>
      <c r="M26" s="6">
        <f>F26-F25+M25</f>
        <v>188576</v>
      </c>
      <c r="N26" s="6">
        <f>H26-H25+N25</f>
        <v>188815</v>
      </c>
    </row>
    <row r="27" spans="1:14">
      <c r="C27" s="16">
        <v>41275</v>
      </c>
      <c r="D27" s="11">
        <v>2287385</v>
      </c>
      <c r="E27" s="14">
        <v>41275</v>
      </c>
      <c r="F27" s="13">
        <v>2861191</v>
      </c>
      <c r="G27" s="10">
        <v>41275</v>
      </c>
      <c r="H27" s="9">
        <v>2868014</v>
      </c>
      <c r="L27" s="6">
        <f t="shared" si="2"/>
        <v>455605</v>
      </c>
      <c r="M27" s="6">
        <f t="shared" ref="M27:M40" si="3">F27-F26+M26</f>
        <v>469524</v>
      </c>
      <c r="N27" s="6">
        <f t="shared" ref="N27:N40" si="4">H27-H26+N26</f>
        <v>476343</v>
      </c>
    </row>
    <row r="28" spans="1:14">
      <c r="C28" s="16">
        <v>41426</v>
      </c>
      <c r="D28" s="11">
        <v>2481934</v>
      </c>
      <c r="E28" s="14">
        <v>41426</v>
      </c>
      <c r="F28" s="13">
        <v>3061907</v>
      </c>
      <c r="G28" s="10">
        <v>41426</v>
      </c>
      <c r="H28" s="9">
        <v>3077602</v>
      </c>
      <c r="L28" s="6">
        <f t="shared" si="2"/>
        <v>650154</v>
      </c>
      <c r="M28" s="6">
        <f t="shared" si="3"/>
        <v>670240</v>
      </c>
      <c r="N28" s="6">
        <f t="shared" si="4"/>
        <v>685931</v>
      </c>
    </row>
    <row r="29" spans="1:14">
      <c r="C29" s="16">
        <v>41640</v>
      </c>
      <c r="D29" s="11">
        <v>2759885</v>
      </c>
      <c r="E29" s="14">
        <v>41640</v>
      </c>
      <c r="F29" s="13">
        <v>3348454</v>
      </c>
      <c r="G29" s="10">
        <v>41640</v>
      </c>
      <c r="H29" s="9">
        <v>3378789</v>
      </c>
      <c r="L29" s="6">
        <f t="shared" si="2"/>
        <v>928105</v>
      </c>
      <c r="M29" s="6">
        <f t="shared" si="3"/>
        <v>956787</v>
      </c>
      <c r="N29" s="6">
        <f t="shared" si="4"/>
        <v>987118</v>
      </c>
    </row>
    <row r="30" spans="1:14">
      <c r="C30" s="16">
        <v>42005</v>
      </c>
      <c r="D30" s="11">
        <v>3239612</v>
      </c>
      <c r="E30" s="14">
        <v>42005</v>
      </c>
      <c r="F30" s="13">
        <v>3841962</v>
      </c>
      <c r="G30" s="10">
        <v>42005</v>
      </c>
      <c r="H30" s="9">
        <v>3895923</v>
      </c>
      <c r="L30" s="6">
        <f t="shared" si="2"/>
        <v>1407832</v>
      </c>
      <c r="M30" s="6">
        <f t="shared" si="3"/>
        <v>1450295</v>
      </c>
      <c r="N30" s="6">
        <f t="shared" si="4"/>
        <v>1504252</v>
      </c>
    </row>
    <row r="31" spans="1:14">
      <c r="C31" s="16">
        <v>42370</v>
      </c>
      <c r="D31" s="11">
        <v>3725290</v>
      </c>
      <c r="E31" s="14">
        <v>42370</v>
      </c>
      <c r="F31" s="17">
        <v>4340250</v>
      </c>
      <c r="G31" s="10">
        <v>42370</v>
      </c>
      <c r="H31" s="9">
        <v>4414575</v>
      </c>
      <c r="L31" s="6">
        <f t="shared" si="2"/>
        <v>1893510</v>
      </c>
      <c r="M31" s="6">
        <f t="shared" si="3"/>
        <v>1948583</v>
      </c>
      <c r="N31" s="6">
        <f t="shared" si="4"/>
        <v>2022904</v>
      </c>
    </row>
    <row r="32" spans="1:14">
      <c r="C32" s="16">
        <v>42736</v>
      </c>
      <c r="D32" s="11">
        <v>4215488</v>
      </c>
      <c r="E32" s="14">
        <v>42736</v>
      </c>
      <c r="F32" s="17">
        <v>4843869</v>
      </c>
      <c r="G32" s="10">
        <v>42736</v>
      </c>
      <c r="H32" s="9">
        <v>4936046</v>
      </c>
      <c r="L32" s="6">
        <f t="shared" si="2"/>
        <v>2383708</v>
      </c>
      <c r="M32" s="6">
        <f t="shared" si="3"/>
        <v>2452202</v>
      </c>
      <c r="N32" s="6">
        <f t="shared" si="4"/>
        <v>2544375</v>
      </c>
    </row>
    <row r="33" spans="1:14">
      <c r="C33" s="16">
        <v>43101</v>
      </c>
      <c r="D33" s="11">
        <v>4706517</v>
      </c>
      <c r="E33" s="14">
        <v>43101</v>
      </c>
      <c r="F33" s="17">
        <v>5349753</v>
      </c>
      <c r="G33" s="10">
        <v>43101</v>
      </c>
      <c r="H33" s="9">
        <v>5457248</v>
      </c>
      <c r="L33" s="6">
        <f t="shared" si="2"/>
        <v>2874737</v>
      </c>
      <c r="M33" s="6">
        <f t="shared" si="3"/>
        <v>2958086</v>
      </c>
      <c r="N33" s="6">
        <f t="shared" si="4"/>
        <v>3065577</v>
      </c>
    </row>
    <row r="34" spans="1:14">
      <c r="C34" s="16">
        <v>43466</v>
      </c>
      <c r="D34" s="11">
        <v>5200769</v>
      </c>
      <c r="E34" s="14">
        <v>43466</v>
      </c>
      <c r="F34" s="17">
        <v>5858837</v>
      </c>
      <c r="G34" s="10">
        <v>43466</v>
      </c>
      <c r="H34" s="9">
        <v>5979365</v>
      </c>
      <c r="L34" s="6">
        <f t="shared" si="2"/>
        <v>3368989</v>
      </c>
      <c r="M34" s="6">
        <f t="shared" si="3"/>
        <v>3467170</v>
      </c>
      <c r="N34" s="6">
        <f t="shared" si="4"/>
        <v>3587694</v>
      </c>
    </row>
    <row r="35" spans="1:14">
      <c r="C35" s="16">
        <v>43831</v>
      </c>
      <c r="D35" s="11">
        <v>5698212</v>
      </c>
      <c r="E35" s="14">
        <v>43831</v>
      </c>
      <c r="F35" s="17">
        <v>6370682</v>
      </c>
      <c r="G35" s="10">
        <v>43831</v>
      </c>
      <c r="H35" s="9">
        <v>6502023</v>
      </c>
      <c r="L35" s="6">
        <f t="shared" si="2"/>
        <v>3866432</v>
      </c>
      <c r="M35" s="6">
        <f t="shared" si="3"/>
        <v>3979015</v>
      </c>
      <c r="N35" s="6">
        <f t="shared" si="4"/>
        <v>4110352</v>
      </c>
    </row>
    <row r="36" spans="1:14">
      <c r="C36" s="16">
        <v>44197</v>
      </c>
      <c r="D36" s="11">
        <v>6199639</v>
      </c>
      <c r="E36" s="14">
        <v>44197</v>
      </c>
      <c r="F36" s="17">
        <v>6886316</v>
      </c>
      <c r="G36" s="10">
        <v>44197</v>
      </c>
      <c r="H36" s="9">
        <v>7026464</v>
      </c>
      <c r="L36" s="6">
        <f t="shared" si="2"/>
        <v>4367859</v>
      </c>
      <c r="M36" s="6">
        <f t="shared" si="3"/>
        <v>4494649</v>
      </c>
      <c r="N36" s="6">
        <f t="shared" si="4"/>
        <v>4634793</v>
      </c>
    </row>
    <row r="37" spans="1:14">
      <c r="C37" s="16">
        <v>44562</v>
      </c>
      <c r="D37" s="11">
        <v>6701946</v>
      </c>
      <c r="E37" s="14">
        <v>44562</v>
      </c>
      <c r="F37" s="17">
        <v>7402543</v>
      </c>
      <c r="G37" s="10">
        <v>44562</v>
      </c>
      <c r="H37" s="9">
        <v>7549852</v>
      </c>
      <c r="L37" s="6">
        <f t="shared" si="2"/>
        <v>4870166</v>
      </c>
      <c r="M37" s="6">
        <f t="shared" si="3"/>
        <v>5010876</v>
      </c>
      <c r="N37" s="6">
        <f t="shared" si="4"/>
        <v>5158181</v>
      </c>
    </row>
    <row r="38" spans="1:14">
      <c r="C38" s="16">
        <v>44927</v>
      </c>
      <c r="D38" s="11">
        <v>7206083</v>
      </c>
      <c r="E38" s="14">
        <v>44927</v>
      </c>
      <c r="F38" s="17">
        <v>7920455</v>
      </c>
      <c r="G38" s="10">
        <v>44927</v>
      </c>
      <c r="H38" s="9">
        <v>8073218</v>
      </c>
      <c r="L38" s="6">
        <f t="shared" si="2"/>
        <v>5374303</v>
      </c>
      <c r="M38" s="6">
        <f t="shared" si="3"/>
        <v>5528788</v>
      </c>
      <c r="N38" s="6">
        <f t="shared" si="4"/>
        <v>5681547</v>
      </c>
    </row>
    <row r="39" spans="1:14">
      <c r="C39" s="16">
        <v>45292</v>
      </c>
      <c r="D39" s="11">
        <v>7711820</v>
      </c>
      <c r="E39" s="14">
        <v>45292</v>
      </c>
      <c r="F39" s="17">
        <v>8439840</v>
      </c>
      <c r="G39" s="10">
        <v>45292</v>
      </c>
      <c r="H39" s="9">
        <v>8596502</v>
      </c>
      <c r="L39" s="6">
        <f t="shared" si="2"/>
        <v>5880040</v>
      </c>
      <c r="M39" s="6">
        <f t="shared" si="3"/>
        <v>6048173</v>
      </c>
      <c r="N39" s="6">
        <f t="shared" si="4"/>
        <v>6204831</v>
      </c>
    </row>
    <row r="40" spans="1:14">
      <c r="C40" s="16">
        <v>45658</v>
      </c>
      <c r="D40" s="11">
        <v>8220367</v>
      </c>
      <c r="E40" s="14">
        <v>45658</v>
      </c>
      <c r="F40" s="17">
        <v>8961914</v>
      </c>
      <c r="G40" s="10">
        <v>45658</v>
      </c>
      <c r="H40" s="9">
        <v>9121233</v>
      </c>
      <c r="L40" s="6">
        <f t="shared" si="2"/>
        <v>6388587</v>
      </c>
      <c r="M40" s="6">
        <f t="shared" si="3"/>
        <v>6570247</v>
      </c>
      <c r="N40" s="6">
        <f t="shared" si="4"/>
        <v>6729562</v>
      </c>
    </row>
    <row r="41" spans="1:14">
      <c r="C41" s="15"/>
    </row>
    <row r="42" spans="1:14">
      <c r="A42" t="s">
        <v>11</v>
      </c>
      <c r="C42" s="16" t="s">
        <v>1</v>
      </c>
      <c r="D42" s="11" t="s">
        <v>14</v>
      </c>
      <c r="E42" s="14" t="s">
        <v>12</v>
      </c>
      <c r="F42" s="13" t="s">
        <v>13</v>
      </c>
      <c r="G42" s="10"/>
    </row>
    <row r="43" spans="1:14">
      <c r="C43" s="16">
        <v>40918</v>
      </c>
      <c r="D43" s="11">
        <v>3.2797230000000002</v>
      </c>
      <c r="E43" s="14">
        <v>40918</v>
      </c>
      <c r="F43" s="13">
        <v>1000</v>
      </c>
      <c r="G43" s="10"/>
    </row>
    <row r="44" spans="1:14">
      <c r="C44" s="16">
        <v>41061</v>
      </c>
      <c r="D44" s="11">
        <v>978.63840000000005</v>
      </c>
      <c r="E44" s="14">
        <v>41061</v>
      </c>
      <c r="F44" s="13">
        <v>1000</v>
      </c>
      <c r="G44" s="10"/>
    </row>
    <row r="45" spans="1:14">
      <c r="C45" s="16">
        <v>41062</v>
      </c>
      <c r="D45" s="11">
        <v>1034.327</v>
      </c>
      <c r="E45" s="14">
        <v>41062</v>
      </c>
      <c r="F45" s="13">
        <v>1000</v>
      </c>
      <c r="G45" s="10"/>
    </row>
    <row r="46" spans="1:14">
      <c r="C46" s="16">
        <v>41275</v>
      </c>
      <c r="D46" s="11">
        <v>57057.13</v>
      </c>
      <c r="E46" s="14">
        <v>41275</v>
      </c>
      <c r="F46" s="13">
        <v>1000</v>
      </c>
      <c r="G46" s="10"/>
    </row>
    <row r="47" spans="1:14">
      <c r="C47" s="16">
        <v>41426</v>
      </c>
      <c r="D47" s="11">
        <v>133134.9</v>
      </c>
      <c r="E47" s="14">
        <v>41426</v>
      </c>
      <c r="F47" s="13">
        <v>1000</v>
      </c>
      <c r="G47" s="10"/>
    </row>
    <row r="48" spans="1:14">
      <c r="C48" s="16">
        <v>41640</v>
      </c>
      <c r="D48" s="11">
        <v>263325.5</v>
      </c>
      <c r="E48" s="14">
        <v>41640</v>
      </c>
      <c r="F48" s="13">
        <v>1000</v>
      </c>
      <c r="G48" s="10"/>
    </row>
    <row r="49" spans="3:7">
      <c r="C49" s="16">
        <v>42005</v>
      </c>
      <c r="D49" s="18">
        <v>545724.5</v>
      </c>
      <c r="E49" s="14">
        <v>42005</v>
      </c>
      <c r="F49" s="13">
        <v>1000</v>
      </c>
      <c r="G49" s="10"/>
    </row>
    <row r="50" spans="3:7">
      <c r="C50" s="16">
        <v>42370</v>
      </c>
      <c r="D50" s="18">
        <v>854200.6</v>
      </c>
      <c r="E50" s="14">
        <v>42370</v>
      </c>
      <c r="F50" s="13">
        <v>1000</v>
      </c>
      <c r="G50" s="10"/>
    </row>
    <row r="51" spans="3:7">
      <c r="C51" s="16">
        <v>42736</v>
      </c>
      <c r="D51" s="18">
        <v>1175506</v>
      </c>
      <c r="E51" s="14">
        <v>42736</v>
      </c>
      <c r="F51" s="13">
        <v>1000</v>
      </c>
      <c r="G51" s="10"/>
    </row>
    <row r="52" spans="3:7">
      <c r="C52" s="16">
        <v>43101</v>
      </c>
      <c r="D52" s="18">
        <v>1504940</v>
      </c>
      <c r="E52" s="14">
        <v>43101</v>
      </c>
      <c r="F52" s="13">
        <v>1000</v>
      </c>
      <c r="G52" s="10"/>
    </row>
    <row r="53" spans="3:7">
      <c r="C53" s="16">
        <v>43466</v>
      </c>
      <c r="D53" s="18">
        <v>1839971</v>
      </c>
      <c r="E53" s="14">
        <v>43466</v>
      </c>
      <c r="F53" s="13">
        <v>1000</v>
      </c>
      <c r="G53" s="10"/>
    </row>
    <row r="54" spans="3:7">
      <c r="C54" s="16">
        <v>43831</v>
      </c>
      <c r="D54" s="18">
        <v>2179867</v>
      </c>
      <c r="E54" s="14">
        <v>43831</v>
      </c>
      <c r="F54" s="13">
        <v>1000</v>
      </c>
      <c r="G54" s="10"/>
    </row>
    <row r="55" spans="3:7">
      <c r="C55" s="16">
        <v>44197</v>
      </c>
      <c r="D55" s="18">
        <v>2524794</v>
      </c>
      <c r="E55" s="14">
        <v>44197</v>
      </c>
      <c r="F55" s="13">
        <v>1000</v>
      </c>
      <c r="G55" s="10"/>
    </row>
    <row r="56" spans="3:7">
      <c r="C56" s="16">
        <v>44562</v>
      </c>
      <c r="D56" s="18">
        <v>2871185</v>
      </c>
      <c r="E56" s="14">
        <v>44562</v>
      </c>
      <c r="F56" s="13">
        <v>1000</v>
      </c>
      <c r="G56" s="10"/>
    </row>
    <row r="57" spans="3:7">
      <c r="C57" s="16">
        <v>44927</v>
      </c>
      <c r="D57" s="18">
        <v>3219444</v>
      </c>
      <c r="E57" s="14">
        <v>44927</v>
      </c>
      <c r="F57" s="13">
        <v>1000</v>
      </c>
      <c r="G57" s="10"/>
    </row>
    <row r="58" spans="3:7">
      <c r="C58" s="16">
        <v>45292</v>
      </c>
      <c r="D58" s="18">
        <v>3569318</v>
      </c>
      <c r="E58" s="14">
        <v>45292</v>
      </c>
      <c r="F58" s="13">
        <v>1000</v>
      </c>
      <c r="G58" s="10"/>
    </row>
    <row r="59" spans="3:7">
      <c r="C59" s="16">
        <v>45658</v>
      </c>
      <c r="D59" s="11">
        <v>3921559</v>
      </c>
      <c r="E59" s="14">
        <v>45658</v>
      </c>
      <c r="F59" s="13">
        <v>1000</v>
      </c>
    </row>
  </sheetData>
  <pageMargins left="0.7" right="0.7" top="0.75" bottom="0.75" header="0.3" footer="0.3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A2" sqref="A2"/>
    </sheetView>
  </sheetViews>
  <sheetFormatPr baseColWidth="10" defaultColWidth="8.83203125" defaultRowHeight="14" x14ac:dyDescent="0"/>
  <sheetData>
    <row r="1" spans="1:1">
      <c r="A1" t="s">
        <v>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B2" workbookViewId="0">
      <selection activeCell="C14" sqref="C14"/>
    </sheetView>
  </sheetViews>
  <sheetFormatPr baseColWidth="10" defaultRowHeight="14" x14ac:dyDescent="0"/>
  <cols>
    <col min="1" max="1" width="22.5" customWidth="1"/>
    <col min="2" max="2" width="22.33203125" customWidth="1"/>
    <col min="3" max="3" width="15" customWidth="1"/>
    <col min="4" max="4" width="14.6640625" customWidth="1"/>
    <col min="5" max="5" width="14.5" customWidth="1"/>
    <col min="6" max="6" width="14.33203125" customWidth="1"/>
    <col min="7" max="7" width="19.1640625" customWidth="1"/>
    <col min="8" max="8" width="17.33203125" customWidth="1"/>
    <col min="9" max="9" width="16.1640625" customWidth="1"/>
    <col min="10" max="10" width="12.83203125" bestFit="1" customWidth="1"/>
    <col min="11" max="11" width="12.83203125" customWidth="1"/>
    <col min="13" max="13" width="12.6640625" customWidth="1"/>
    <col min="15" max="15" width="12.1640625" customWidth="1"/>
  </cols>
  <sheetData>
    <row r="1" spans="1:26" ht="15">
      <c r="A1" s="27" t="s">
        <v>36</v>
      </c>
      <c r="B1" s="27"/>
      <c r="C1" s="28"/>
      <c r="D1" s="28"/>
      <c r="E1" s="28"/>
      <c r="F1" s="28"/>
      <c r="G1" s="28"/>
      <c r="H1" s="22"/>
      <c r="I1" s="22"/>
      <c r="J1" s="22"/>
    </row>
    <row r="2" spans="1:26" ht="15">
      <c r="A2" s="28" t="s">
        <v>35</v>
      </c>
      <c r="B2" s="28"/>
      <c r="C2" s="24">
        <v>100</v>
      </c>
      <c r="D2" s="28" t="s">
        <v>31</v>
      </c>
      <c r="E2" s="28" t="s">
        <v>34</v>
      </c>
      <c r="F2" s="28">
        <v>0.1589873</v>
      </c>
      <c r="G2" s="28" t="s">
        <v>33</v>
      </c>
      <c r="H2" s="22" t="s">
        <v>34</v>
      </c>
      <c r="I2" s="22">
        <v>0.1589873</v>
      </c>
      <c r="J2" s="22" t="s">
        <v>33</v>
      </c>
    </row>
    <row r="3" spans="1:26" ht="15">
      <c r="A3" s="28" t="s">
        <v>32</v>
      </c>
      <c r="B3" s="28"/>
      <c r="C3" s="26">
        <v>0</v>
      </c>
      <c r="D3" s="28" t="s">
        <v>31</v>
      </c>
      <c r="E3" s="28" t="s">
        <v>30</v>
      </c>
      <c r="F3" s="28">
        <v>6.2898105700000002</v>
      </c>
      <c r="G3" s="28" t="s">
        <v>29</v>
      </c>
      <c r="H3" s="22" t="s">
        <v>30</v>
      </c>
      <c r="I3" s="22">
        <v>6.2898105697750699</v>
      </c>
      <c r="J3" s="22" t="s">
        <v>29</v>
      </c>
    </row>
    <row r="4" spans="1:26" ht="15">
      <c r="A4" s="28" t="s">
        <v>22</v>
      </c>
      <c r="B4" s="28"/>
      <c r="C4" s="25">
        <v>0.08</v>
      </c>
      <c r="D4" s="28" t="s">
        <v>28</v>
      </c>
      <c r="E4" s="28"/>
      <c r="F4" s="28"/>
      <c r="G4" s="28"/>
      <c r="H4" s="22"/>
      <c r="I4" s="22"/>
      <c r="J4" s="22"/>
    </row>
    <row r="5" spans="1:26" ht="15">
      <c r="A5" s="28"/>
      <c r="B5" s="28"/>
      <c r="C5" s="25"/>
      <c r="D5" s="28"/>
      <c r="E5" s="28"/>
      <c r="F5" s="28"/>
      <c r="G5" s="28"/>
      <c r="H5" s="22"/>
      <c r="I5" s="22"/>
      <c r="J5" s="22"/>
    </row>
    <row r="6" spans="1:26" ht="15">
      <c r="Q6" s="28"/>
      <c r="R6" s="28"/>
      <c r="S6" s="25"/>
      <c r="T6" s="28"/>
      <c r="U6" s="28"/>
      <c r="V6" s="28"/>
      <c r="W6" s="28"/>
      <c r="X6" s="22"/>
      <c r="Y6" s="22"/>
      <c r="Z6" s="22"/>
    </row>
    <row r="7" spans="1:26" ht="15">
      <c r="Q7" s="28"/>
      <c r="R7" s="28"/>
      <c r="S7" s="25"/>
      <c r="T7" s="28"/>
      <c r="U7" s="28"/>
      <c r="V7" s="28"/>
      <c r="W7" s="28"/>
      <c r="X7" s="22"/>
      <c r="Y7" s="22"/>
      <c r="Z7" s="22"/>
    </row>
    <row r="8" spans="1:26" ht="15">
      <c r="Q8" s="28"/>
      <c r="R8" s="28"/>
      <c r="S8" s="25"/>
      <c r="T8" s="28"/>
      <c r="U8" s="28"/>
      <c r="V8" s="28"/>
      <c r="W8" s="28"/>
      <c r="X8" s="22"/>
      <c r="Y8" s="22"/>
      <c r="Z8" s="22"/>
    </row>
    <row r="9" spans="1:26" ht="15">
      <c r="A9" t="s">
        <v>16</v>
      </c>
      <c r="B9">
        <v>2011</v>
      </c>
      <c r="C9">
        <v>2012</v>
      </c>
      <c r="D9">
        <v>2013</v>
      </c>
      <c r="E9">
        <v>2014</v>
      </c>
      <c r="F9">
        <v>2015</v>
      </c>
      <c r="G9">
        <v>2016</v>
      </c>
      <c r="H9">
        <v>2017</v>
      </c>
      <c r="I9">
        <v>2018</v>
      </c>
      <c r="J9">
        <v>2019</v>
      </c>
      <c r="K9">
        <v>2020</v>
      </c>
      <c r="L9">
        <v>2021</v>
      </c>
      <c r="M9">
        <v>2022</v>
      </c>
      <c r="N9">
        <v>2023</v>
      </c>
      <c r="O9">
        <v>2024</v>
      </c>
      <c r="Q9" s="28" t="s">
        <v>27</v>
      </c>
      <c r="R9" s="28"/>
      <c r="S9" s="24">
        <v>5.75</v>
      </c>
      <c r="T9" s="28" t="s">
        <v>26</v>
      </c>
      <c r="U9" s="28"/>
      <c r="V9" s="28"/>
      <c r="W9" s="28"/>
      <c r="X9" s="22"/>
      <c r="Y9" s="22"/>
      <c r="Z9" s="22"/>
    </row>
    <row r="10" spans="1:26" ht="15">
      <c r="A10" t="s">
        <v>17</v>
      </c>
      <c r="B10" s="20">
        <v>-400000000</v>
      </c>
      <c r="C10" s="20"/>
      <c r="Q10" s="28"/>
      <c r="R10" s="28"/>
      <c r="S10" s="29"/>
      <c r="U10" s="30"/>
      <c r="V10" s="28"/>
      <c r="W10" s="28"/>
      <c r="X10" s="23"/>
      <c r="Y10" s="22"/>
      <c r="Z10" s="22"/>
    </row>
    <row r="11" spans="1:26" ht="15">
      <c r="A11" t="s">
        <v>18</v>
      </c>
      <c r="C11" s="3">
        <f>H27+H29+H28+H30</f>
        <v>1004790410.4963908</v>
      </c>
      <c r="D11">
        <f>H30+H31</f>
        <v>695480802.57954025</v>
      </c>
      <c r="E11">
        <f>H33</f>
        <v>142063108.19045079</v>
      </c>
      <c r="F11">
        <f>H34</f>
        <v>69928478.566512048</v>
      </c>
      <c r="G11">
        <f>H35</f>
        <v>38205834.681243315</v>
      </c>
      <c r="H11">
        <f>H36</f>
        <v>12776869.599474948</v>
      </c>
      <c r="I11">
        <f>H37</f>
        <v>3052445.069621</v>
      </c>
      <c r="J11">
        <f>H38</f>
        <v>-4052807.9917265666</v>
      </c>
      <c r="K11">
        <f>H39</f>
        <v>-10594226.709053244</v>
      </c>
      <c r="L11">
        <f>H40</f>
        <v>-12303812.9465055</v>
      </c>
      <c r="M11">
        <f>H41</f>
        <v>-11898025.817581698</v>
      </c>
      <c r="N11">
        <f>H42</f>
        <v>-10868368.102746442</v>
      </c>
      <c r="O11">
        <f>H43</f>
        <v>-10160953.107938625</v>
      </c>
      <c r="Q11" s="31"/>
      <c r="R11" s="31"/>
      <c r="S11" s="31"/>
      <c r="T11" s="28"/>
      <c r="U11" s="28"/>
      <c r="V11" s="28"/>
      <c r="W11" s="28"/>
      <c r="X11" s="22"/>
      <c r="Y11" s="22"/>
      <c r="Z11" s="22"/>
    </row>
    <row r="12" spans="1:26" ht="15">
      <c r="A12" t="s">
        <v>61</v>
      </c>
      <c r="B12" s="3">
        <f>1/((1+0.08)^B$19)</f>
        <v>1</v>
      </c>
      <c r="C12" s="3">
        <f t="shared" ref="C12:O12" si="0">1/((1+0.08)^C$19)</f>
        <v>0.92592592592592582</v>
      </c>
      <c r="D12" s="3">
        <f t="shared" si="0"/>
        <v>0.85733882030178321</v>
      </c>
      <c r="E12" s="3">
        <f t="shared" si="0"/>
        <v>0.79383224102016958</v>
      </c>
      <c r="F12" s="3">
        <f t="shared" si="0"/>
        <v>0.73502985279645328</v>
      </c>
      <c r="G12" s="3">
        <f t="shared" si="0"/>
        <v>0.68058319703375303</v>
      </c>
      <c r="H12" s="3">
        <f t="shared" si="0"/>
        <v>0.63016962688310452</v>
      </c>
      <c r="I12" s="3">
        <f t="shared" si="0"/>
        <v>0.58349039526213387</v>
      </c>
      <c r="J12" s="3">
        <f t="shared" si="0"/>
        <v>0.54026888450197574</v>
      </c>
      <c r="K12" s="3">
        <f t="shared" si="0"/>
        <v>0.50024896713145905</v>
      </c>
      <c r="L12" s="3">
        <f t="shared" si="0"/>
        <v>0.46319348808468425</v>
      </c>
      <c r="M12" s="3">
        <f t="shared" si="0"/>
        <v>0.42888285933767062</v>
      </c>
      <c r="N12" s="3">
        <f t="shared" si="0"/>
        <v>0.39711375864599124</v>
      </c>
      <c r="O12" s="3">
        <f t="shared" si="0"/>
        <v>0.36769792467221413</v>
      </c>
      <c r="Q12" s="31"/>
      <c r="R12" s="31"/>
      <c r="S12" s="31"/>
      <c r="T12" s="28"/>
      <c r="U12" s="28"/>
      <c r="V12" s="28"/>
      <c r="W12" s="28"/>
      <c r="X12" s="22"/>
      <c r="Y12" s="22"/>
      <c r="Z12" s="22"/>
    </row>
    <row r="13" spans="1:26">
      <c r="A13" t="s">
        <v>19</v>
      </c>
      <c r="C13" s="20"/>
      <c r="D13" s="20"/>
      <c r="E13" s="20"/>
      <c r="F13" s="20"/>
      <c r="G13" s="20"/>
      <c r="H13" s="20"/>
      <c r="I13" s="20"/>
      <c r="Q13" s="31"/>
      <c r="R13" s="31"/>
      <c r="S13" s="31"/>
      <c r="T13" s="31"/>
      <c r="U13" s="31"/>
      <c r="V13" s="31"/>
      <c r="W13" s="31"/>
    </row>
    <row r="14" spans="1:26">
      <c r="A14" t="s">
        <v>20</v>
      </c>
      <c r="C14">
        <f>0.78*C11</f>
        <v>783736520.18718481</v>
      </c>
      <c r="D14">
        <f t="shared" ref="D14:O14" si="1">0.78*D11</f>
        <v>542475026.01204145</v>
      </c>
      <c r="E14">
        <f t="shared" si="1"/>
        <v>110809224.38855162</v>
      </c>
      <c r="F14">
        <f t="shared" si="1"/>
        <v>54544213.281879403</v>
      </c>
      <c r="G14">
        <f t="shared" si="1"/>
        <v>29800551.051369786</v>
      </c>
      <c r="H14">
        <f t="shared" si="1"/>
        <v>9965958.287590459</v>
      </c>
      <c r="I14">
        <f t="shared" si="1"/>
        <v>2380907.1543043801</v>
      </c>
      <c r="J14">
        <f t="shared" si="1"/>
        <v>-3161190.2335467222</v>
      </c>
      <c r="K14">
        <f t="shared" si="1"/>
        <v>-8263496.8330615312</v>
      </c>
      <c r="L14">
        <f t="shared" si="1"/>
        <v>-9596974.0982742906</v>
      </c>
      <c r="M14">
        <f t="shared" si="1"/>
        <v>-9280460.1377137247</v>
      </c>
      <c r="N14">
        <f t="shared" si="1"/>
        <v>-8477327.1201422252</v>
      </c>
      <c r="O14">
        <f t="shared" si="1"/>
        <v>-7925543.4241921278</v>
      </c>
    </row>
    <row r="16" spans="1:26">
      <c r="A16" s="21" t="s">
        <v>21</v>
      </c>
      <c r="B16" s="21">
        <f>B$10*(1/(1+0.08)^B$19)</f>
        <v>-400000000</v>
      </c>
      <c r="C16" s="39">
        <f>C10+C11+C13</f>
        <v>1004790410.4963908</v>
      </c>
      <c r="D16" s="21">
        <f>D11+D13</f>
        <v>695480802.57954025</v>
      </c>
      <c r="E16" s="39">
        <f t="shared" ref="E16" si="2">E10+E11+E13</f>
        <v>142063108.19045079</v>
      </c>
      <c r="F16" s="21">
        <f t="shared" ref="F16" si="3">F11+F13</f>
        <v>69928478.566512048</v>
      </c>
      <c r="G16" s="39">
        <f t="shared" ref="G16" si="4">G10+G11+G13</f>
        <v>38205834.681243315</v>
      </c>
      <c r="H16" s="21">
        <f t="shared" ref="H16" si="5">H11+H13</f>
        <v>12776869.599474948</v>
      </c>
      <c r="I16" s="39">
        <f t="shared" ref="I16" si="6">I10+I11+I13</f>
        <v>3052445.069621</v>
      </c>
      <c r="J16" s="21">
        <f t="shared" ref="J16" si="7">J11+J13</f>
        <v>-4052807.9917265666</v>
      </c>
      <c r="K16" s="39">
        <f t="shared" ref="K16" si="8">K10+K11+K13</f>
        <v>-10594226.709053244</v>
      </c>
      <c r="L16" s="21">
        <f t="shared" ref="L16" si="9">L11+L13</f>
        <v>-12303812.9465055</v>
      </c>
      <c r="M16" s="39">
        <f t="shared" ref="M16" si="10">M10+M11+M13</f>
        <v>-11898025.817581698</v>
      </c>
      <c r="N16" s="21">
        <f t="shared" ref="N16" si="11">N11+N13</f>
        <v>-10868368.102746442</v>
      </c>
      <c r="O16" s="39">
        <f t="shared" ref="O16" si="12">O10+O11+O13</f>
        <v>-10160953.107938625</v>
      </c>
    </row>
    <row r="18" spans="1:15">
      <c r="A18" t="s">
        <v>22</v>
      </c>
      <c r="B18">
        <v>0.08</v>
      </c>
      <c r="C18">
        <v>0.08</v>
      </c>
      <c r="D18">
        <v>0.08</v>
      </c>
      <c r="E18">
        <v>0.08</v>
      </c>
      <c r="F18">
        <v>0.08</v>
      </c>
      <c r="G18">
        <v>0.08</v>
      </c>
      <c r="H18">
        <v>0.08</v>
      </c>
      <c r="I18">
        <v>0.08</v>
      </c>
      <c r="J18">
        <v>0.08</v>
      </c>
      <c r="K18">
        <v>0.08</v>
      </c>
      <c r="L18">
        <v>0.08</v>
      </c>
      <c r="M18">
        <v>0.08</v>
      </c>
      <c r="N18">
        <v>0.08</v>
      </c>
      <c r="O18">
        <v>0.08</v>
      </c>
    </row>
    <row r="19" spans="1:15" s="40" customFormat="1">
      <c r="A19" s="40" t="s">
        <v>23</v>
      </c>
      <c r="B19" s="40">
        <v>0</v>
      </c>
      <c r="C19" s="40">
        <v>1</v>
      </c>
      <c r="D19" s="40">
        <v>2</v>
      </c>
      <c r="E19" s="40">
        <v>3</v>
      </c>
      <c r="F19" s="40">
        <v>4</v>
      </c>
      <c r="G19" s="40">
        <v>5</v>
      </c>
      <c r="H19" s="40">
        <v>6</v>
      </c>
      <c r="I19" s="40">
        <v>7</v>
      </c>
      <c r="J19" s="40">
        <v>8</v>
      </c>
      <c r="K19" s="40">
        <v>9</v>
      </c>
      <c r="L19" s="40">
        <v>10</v>
      </c>
      <c r="M19" s="40">
        <v>11</v>
      </c>
      <c r="N19" s="40">
        <v>12</v>
      </c>
      <c r="O19" s="40">
        <v>13</v>
      </c>
    </row>
    <row r="20" spans="1:15">
      <c r="A20" t="s">
        <v>24</v>
      </c>
      <c r="B20">
        <f>B$10*(1/(1+0.08)^B$19)</f>
        <v>-400000000</v>
      </c>
      <c r="C20" s="3">
        <f t="shared" ref="C20:I20" si="13">C$16*(1/(1+0.08)^C$19)</f>
        <v>930361491.20036173</v>
      </c>
      <c r="D20" s="3">
        <f t="shared" si="13"/>
        <v>596262690.82608044</v>
      </c>
      <c r="E20" s="3">
        <f t="shared" si="13"/>
        <v>112774275.54111636</v>
      </c>
      <c r="F20" s="3">
        <f t="shared" si="13"/>
        <v>51399519.307023287</v>
      </c>
      <c r="G20" s="3">
        <f t="shared" si="13"/>
        <v>26002249.112703614</v>
      </c>
      <c r="H20" s="3">
        <f t="shared" si="13"/>
        <v>8051595.1482352093</v>
      </c>
      <c r="I20" s="3">
        <f t="shared" si="13"/>
        <v>1781072.3801891089</v>
      </c>
      <c r="J20" s="3">
        <f t="shared" ref="J20:N20" si="14">J$16*(1/(1+0.08)^J$19)</f>
        <v>-2189606.0527908048</v>
      </c>
      <c r="K20" s="3">
        <f t="shared" si="14"/>
        <v>-5299750.9687604019</v>
      </c>
      <c r="L20" s="3">
        <f t="shared" si="14"/>
        <v>-5699046.035433379</v>
      </c>
      <c r="M20" s="3">
        <f t="shared" si="14"/>
        <v>-5102859.333117865</v>
      </c>
      <c r="N20" s="3">
        <f t="shared" si="14"/>
        <v>-4315978.5076298406</v>
      </c>
      <c r="O20" s="3">
        <f>O$16*(1/(1+0.08)^O$19)</f>
        <v>-3736161.3704807167</v>
      </c>
    </row>
    <row r="22" spans="1:15" ht="15" thickBot="1">
      <c r="A22" t="s">
        <v>25</v>
      </c>
      <c r="B22" s="41">
        <f>B20+C20+D20+E20+F20+G20+H20+I20+J20+K20+L20+M20+N20+O20</f>
        <v>1300289491.2474964</v>
      </c>
    </row>
    <row r="23" spans="1:15" ht="15" thickTop="1"/>
    <row r="26" spans="1:15">
      <c r="A26" t="s">
        <v>40</v>
      </c>
      <c r="B26" t="s">
        <v>38</v>
      </c>
      <c r="C26" t="s">
        <v>39</v>
      </c>
      <c r="E26" s="3" t="s">
        <v>53</v>
      </c>
      <c r="F26" t="s">
        <v>55</v>
      </c>
      <c r="G26" t="s">
        <v>56</v>
      </c>
      <c r="H26" t="s">
        <v>57</v>
      </c>
      <c r="I26" t="s">
        <v>62</v>
      </c>
      <c r="J26" t="s">
        <v>63</v>
      </c>
      <c r="K26" t="s">
        <v>58</v>
      </c>
    </row>
    <row r="27" spans="1:15">
      <c r="A27" s="1">
        <v>40918</v>
      </c>
      <c r="E27" s="3">
        <v>8996.7199999999993</v>
      </c>
      <c r="F27">
        <f t="shared" ref="F27:F43" si="15">E27*$F$3</f>
        <v>56587.664551330396</v>
      </c>
      <c r="G27">
        <f>F27*100</f>
        <v>5658766.4551330395</v>
      </c>
      <c r="H27">
        <f>G27*$S$9</f>
        <v>32537907.117014978</v>
      </c>
      <c r="I27">
        <f>B$20</f>
        <v>-400000000</v>
      </c>
      <c r="J27">
        <f>I27</f>
        <v>-400000000</v>
      </c>
      <c r="K27" t="s">
        <v>59</v>
      </c>
    </row>
    <row r="28" spans="1:15" ht="32">
      <c r="A28" s="1">
        <v>41061</v>
      </c>
      <c r="B28" s="36">
        <f>WOPT!O4+WOPT!O26</f>
        <v>58092</v>
      </c>
      <c r="C28" s="36">
        <f>WOPT!P4+WOPT!P26+WOPT!H47</f>
        <v>190007.37900000007</v>
      </c>
      <c r="E28" s="37">
        <f>'NPV calculation'!C28-'NPV calculation'!B28</f>
        <v>131915.37900000007</v>
      </c>
      <c r="F28">
        <f t="shared" si="15"/>
        <v>829722.74517975654</v>
      </c>
      <c r="G28">
        <f t="shared" ref="G28:G43" si="16">F28*100</f>
        <v>82972274.517975658</v>
      </c>
      <c r="H28">
        <f t="shared" ref="H28:H43" si="17">G28*$S$9</f>
        <v>477090578.47836006</v>
      </c>
      <c r="I28" s="3">
        <f>C20</f>
        <v>930361491.20036173</v>
      </c>
      <c r="J28" s="3">
        <f>J27+I28</f>
        <v>530361491.20036173</v>
      </c>
      <c r="K28" s="38" t="s">
        <v>60</v>
      </c>
    </row>
    <row r="29" spans="1:15">
      <c r="A29" s="1">
        <v>41062</v>
      </c>
      <c r="B29" s="36">
        <f>WOPT!O5+WOPT!O27</f>
        <v>399</v>
      </c>
      <c r="C29" s="36">
        <f>WOPT!P5+WOPT!P27+WOPT!H48</f>
        <v>1267.3000000000175</v>
      </c>
      <c r="E29" s="37">
        <f>'NPV calculation'!C29-'NPV calculation'!B29</f>
        <v>868.30000000001746</v>
      </c>
      <c r="F29">
        <f t="shared" si="15"/>
        <v>5461.4425179311102</v>
      </c>
      <c r="G29">
        <f t="shared" si="16"/>
        <v>546144.25179311098</v>
      </c>
      <c r="H29">
        <f t="shared" si="17"/>
        <v>3140329.4478103882</v>
      </c>
      <c r="I29" s="3">
        <f>D$20</f>
        <v>596262690.82608044</v>
      </c>
      <c r="J29" s="3">
        <f t="shared" ref="J29:J40" si="18">J28+I29</f>
        <v>1126624182.0264421</v>
      </c>
    </row>
    <row r="30" spans="1:15">
      <c r="A30" s="1">
        <v>41275</v>
      </c>
      <c r="B30" s="36">
        <f>WOPT!O6+WOPT!O28</f>
        <v>83020</v>
      </c>
      <c r="C30" s="36">
        <f>WOPT!P6+WOPT!P28+WOPT!H49</f>
        <v>219063.8</v>
      </c>
      <c r="E30" s="37">
        <f>'NPV calculation'!C30-'NPV calculation'!B30</f>
        <v>136043.79999999999</v>
      </c>
      <c r="F30">
        <f t="shared" si="15"/>
        <v>855689.73122296599</v>
      </c>
      <c r="G30">
        <f t="shared" si="16"/>
        <v>85568973.122296602</v>
      </c>
      <c r="H30">
        <f t="shared" si="17"/>
        <v>492021595.45320547</v>
      </c>
      <c r="I30" s="3">
        <f>E$20</f>
        <v>112774275.54111636</v>
      </c>
      <c r="J30" s="3">
        <f t="shared" si="18"/>
        <v>1239398457.5675583</v>
      </c>
    </row>
    <row r="31" spans="1:15">
      <c r="A31" s="1">
        <v>41426</v>
      </c>
      <c r="B31" s="36">
        <f>WOPT!O7+WOPT!O29</f>
        <v>56284</v>
      </c>
      <c r="C31" s="36">
        <f>WOPT!P7+WOPT!P29+WOPT!H50</f>
        <v>112540.39999999991</v>
      </c>
      <c r="E31" s="37">
        <f>'NPV calculation'!C31-'NPV calculation'!B31</f>
        <v>56256.399999999907</v>
      </c>
      <c r="F31">
        <f t="shared" si="15"/>
        <v>353842.09935014741</v>
      </c>
      <c r="G31">
        <f t="shared" si="16"/>
        <v>35384209.93501474</v>
      </c>
      <c r="H31">
        <f t="shared" si="17"/>
        <v>203459207.12633476</v>
      </c>
      <c r="I31" s="3">
        <f>F$20</f>
        <v>51399519.307023287</v>
      </c>
      <c r="J31" s="3">
        <f t="shared" si="18"/>
        <v>1290797976.8745816</v>
      </c>
    </row>
    <row r="32" spans="1:15">
      <c r="A32" s="1">
        <v>41640</v>
      </c>
      <c r="B32" s="36">
        <f>WOPT!O8+WOPT!O30</f>
        <v>75861</v>
      </c>
      <c r="C32" s="36">
        <f>WOPT!P8+WOPT!P30+WOPT!H51</f>
        <v>132000.10000000009</v>
      </c>
      <c r="E32" s="37">
        <f>'NPV calculation'!C32-'NPV calculation'!B32</f>
        <v>56139.100000000093</v>
      </c>
      <c r="F32">
        <f t="shared" si="15"/>
        <v>353104.30457028758</v>
      </c>
      <c r="G32">
        <f t="shared" si="16"/>
        <v>35310430.457028762</v>
      </c>
      <c r="H32">
        <f t="shared" si="17"/>
        <v>203034975.12791538</v>
      </c>
      <c r="I32" s="3">
        <f>G$20</f>
        <v>26002249.112703614</v>
      </c>
      <c r="J32" s="3">
        <f t="shared" si="18"/>
        <v>1316800225.9872851</v>
      </c>
    </row>
    <row r="33" spans="1:10">
      <c r="A33" s="1">
        <v>42005</v>
      </c>
      <c r="B33" s="36">
        <f>WOPT!O9+WOPT!O31</f>
        <v>119867</v>
      </c>
      <c r="C33" s="36">
        <f>WOPT!P9+WOPT!P31+WOPT!H52</f>
        <v>159147.39999999991</v>
      </c>
      <c r="E33" s="37">
        <f>'NPV calculation'!C33-'NPV calculation'!B33</f>
        <v>39280.399999999907</v>
      </c>
      <c r="F33">
        <f t="shared" si="15"/>
        <v>247066.27511382743</v>
      </c>
      <c r="G33">
        <f t="shared" si="16"/>
        <v>24706627.511382744</v>
      </c>
      <c r="H33">
        <f t="shared" si="17"/>
        <v>142063108.19045079</v>
      </c>
      <c r="I33" s="3">
        <f>H$20</f>
        <v>8051595.1482352093</v>
      </c>
      <c r="J33" s="3">
        <f t="shared" si="18"/>
        <v>1324851821.1355205</v>
      </c>
    </row>
    <row r="34" spans="1:10">
      <c r="A34" s="1">
        <v>42370</v>
      </c>
      <c r="B34" s="36">
        <f>WOPT!O10+WOPT!O32</f>
        <v>109911</v>
      </c>
      <c r="C34" s="36">
        <f>WOPT!P10+WOPT!P32+WOPT!H53</f>
        <v>129246.20000000007</v>
      </c>
      <c r="E34" s="37">
        <f>'NPV calculation'!C34-'NPV calculation'!B34</f>
        <v>19335.20000000007</v>
      </c>
      <c r="F34">
        <f t="shared" si="15"/>
        <v>121614.74533306445</v>
      </c>
      <c r="G34">
        <f t="shared" si="16"/>
        <v>12161474.533306444</v>
      </c>
      <c r="H34">
        <f t="shared" si="17"/>
        <v>69928478.566512048</v>
      </c>
      <c r="I34" s="3">
        <f>I$20</f>
        <v>1781072.3801891089</v>
      </c>
      <c r="J34" s="3">
        <f t="shared" si="18"/>
        <v>1326632893.5157096</v>
      </c>
    </row>
    <row r="35" spans="1:10">
      <c r="A35" s="1">
        <v>42736</v>
      </c>
      <c r="B35" s="36">
        <f>WOPT!O11+WOPT!O33</f>
        <v>103766</v>
      </c>
      <c r="C35" s="36">
        <f>WOPT!P11+WOPT!P33+WOPT!H54</f>
        <v>114329.90000000002</v>
      </c>
      <c r="E35" s="37">
        <f>'NPV calculation'!C35-'NPV calculation'!B35</f>
        <v>10563.900000000023</v>
      </c>
      <c r="F35">
        <f t="shared" si="15"/>
        <v>66444.929880423151</v>
      </c>
      <c r="G35">
        <f t="shared" si="16"/>
        <v>6644492.9880423155</v>
      </c>
      <c r="H35">
        <f t="shared" si="17"/>
        <v>38205834.681243315</v>
      </c>
      <c r="I35" s="3">
        <f>J$20</f>
        <v>-2189606.0527908048</v>
      </c>
      <c r="J35" s="3">
        <f t="shared" si="18"/>
        <v>1324443287.4629188</v>
      </c>
    </row>
    <row r="36" spans="1:10">
      <c r="A36" s="1">
        <v>43101</v>
      </c>
      <c r="B36" s="36">
        <f>WOPT!O12+WOPT!O34</f>
        <v>98577</v>
      </c>
      <c r="C36" s="36">
        <f>WOPT!P12+WOPT!P34+WOPT!H55</f>
        <v>102109.79999999993</v>
      </c>
      <c r="E36" s="37">
        <f>'NPV calculation'!C36-'NPV calculation'!B36</f>
        <v>3532.7999999999302</v>
      </c>
      <c r="F36">
        <f t="shared" si="15"/>
        <v>22220.642781695562</v>
      </c>
      <c r="G36">
        <f t="shared" si="16"/>
        <v>2222064.2781695561</v>
      </c>
      <c r="H36">
        <f t="shared" si="17"/>
        <v>12776869.599474948</v>
      </c>
      <c r="I36" s="3">
        <f>K$20</f>
        <v>-5299750.9687604019</v>
      </c>
      <c r="J36" s="3">
        <f t="shared" si="18"/>
        <v>1319143536.4941583</v>
      </c>
    </row>
    <row r="37" spans="1:10">
      <c r="A37" s="1">
        <v>43466</v>
      </c>
      <c r="B37" s="36">
        <f>WOPT!O13+WOPT!O35</f>
        <v>93044</v>
      </c>
      <c r="C37" s="36">
        <f>WOPT!P13+WOPT!P35+WOPT!H56</f>
        <v>93888</v>
      </c>
      <c r="E37" s="37">
        <f>'NPV calculation'!C37-'NPV calculation'!B37</f>
        <v>844</v>
      </c>
      <c r="F37">
        <f t="shared" si="15"/>
        <v>5308.6001210800005</v>
      </c>
      <c r="G37">
        <f t="shared" si="16"/>
        <v>530860.012108</v>
      </c>
      <c r="H37">
        <f t="shared" si="17"/>
        <v>3052445.069621</v>
      </c>
      <c r="I37" s="3">
        <f>L$20</f>
        <v>-5699046.035433379</v>
      </c>
      <c r="J37" s="3">
        <f t="shared" si="18"/>
        <v>1313444490.458725</v>
      </c>
    </row>
    <row r="38" spans="1:10">
      <c r="A38" s="1">
        <v>43831</v>
      </c>
      <c r="B38" s="36">
        <f>WOPT!O14+WOPT!O36</f>
        <v>87859</v>
      </c>
      <c r="C38" s="36">
        <f>WOPT!P14+WOPT!P36+WOPT!H57</f>
        <v>86738.400000000023</v>
      </c>
      <c r="E38" s="37">
        <f>'NPV calculation'!C38-'NPV calculation'!B38</f>
        <v>-1120.5999999999767</v>
      </c>
      <c r="F38">
        <f t="shared" si="15"/>
        <v>-7048.3617247418542</v>
      </c>
      <c r="G38">
        <f t="shared" si="16"/>
        <v>-704836.17247418547</v>
      </c>
      <c r="H38">
        <f t="shared" si="17"/>
        <v>-4052807.9917265666</v>
      </c>
      <c r="I38" s="3">
        <f>M$20</f>
        <v>-5102859.333117865</v>
      </c>
      <c r="J38" s="3">
        <f t="shared" si="18"/>
        <v>1308341631.125607</v>
      </c>
    </row>
    <row r="39" spans="1:10">
      <c r="A39" s="1">
        <v>44197</v>
      </c>
      <c r="B39" s="36">
        <f>WOPT!O15+WOPT!O37</f>
        <v>83715</v>
      </c>
      <c r="C39" s="36">
        <f>WOPT!P15+WOPT!P37+WOPT!H58</f>
        <v>80785.699999999953</v>
      </c>
      <c r="E39" s="37">
        <f>'NPV calculation'!C39-'NPV calculation'!B39</f>
        <v>-2929.3000000000466</v>
      </c>
      <c r="F39">
        <f t="shared" si="15"/>
        <v>-18424.742102701293</v>
      </c>
      <c r="G39">
        <f t="shared" si="16"/>
        <v>-1842474.2102701294</v>
      </c>
      <c r="H39">
        <f t="shared" si="17"/>
        <v>-10594226.709053244</v>
      </c>
      <c r="I39" s="3">
        <f>N$20</f>
        <v>-4315978.5076298406</v>
      </c>
      <c r="J39" s="3">
        <f t="shared" si="18"/>
        <v>1304025652.6179771</v>
      </c>
    </row>
    <row r="40" spans="1:10">
      <c r="A40" s="1">
        <v>44562</v>
      </c>
      <c r="B40" s="36">
        <f>WOPT!O16+WOPT!O38</f>
        <v>79537</v>
      </c>
      <c r="C40" s="36">
        <f>WOPT!P16+WOPT!P38+WOPT!H59</f>
        <v>76135</v>
      </c>
      <c r="E40" s="37">
        <f>'NPV calculation'!C40-'NPV calculation'!B40</f>
        <v>-3402</v>
      </c>
      <c r="F40">
        <f t="shared" si="15"/>
        <v>-21397.935559140002</v>
      </c>
      <c r="G40">
        <f t="shared" si="16"/>
        <v>-2139793.5559140001</v>
      </c>
      <c r="H40">
        <f t="shared" si="17"/>
        <v>-12303812.9465055</v>
      </c>
      <c r="I40" s="3">
        <f>O$20</f>
        <v>-3736161.3704807167</v>
      </c>
      <c r="J40" s="3">
        <f t="shared" si="18"/>
        <v>1300289491.2474964</v>
      </c>
    </row>
    <row r="41" spans="1:10">
      <c r="A41" s="1">
        <v>44927</v>
      </c>
      <c r="B41" s="36">
        <f>WOPT!O17+WOPT!O39</f>
        <v>75952</v>
      </c>
      <c r="C41" s="36">
        <f>WOPT!P17+WOPT!P39+WOPT!H60</f>
        <v>72662.20000000007</v>
      </c>
      <c r="E41" s="37">
        <f>'NPV calculation'!C41-'NPV calculation'!B41</f>
        <v>-3289.7999999999302</v>
      </c>
      <c r="F41">
        <f t="shared" si="15"/>
        <v>-20692.218813185562</v>
      </c>
      <c r="G41">
        <f t="shared" si="16"/>
        <v>-2069221.8813185561</v>
      </c>
      <c r="H41">
        <f t="shared" si="17"/>
        <v>-11898025.817581698</v>
      </c>
      <c r="I41" s="3"/>
      <c r="J41" s="3"/>
    </row>
    <row r="42" spans="1:10">
      <c r="A42" s="1">
        <v>45292</v>
      </c>
      <c r="B42" s="36">
        <f>WOPT!O18+WOPT!O40</f>
        <v>72642</v>
      </c>
      <c r="C42" s="36">
        <f>WOPT!P18+WOPT!P40+WOPT!H61</f>
        <v>69636.900000000023</v>
      </c>
      <c r="E42" s="37">
        <f>'NPV calculation'!C42-'NPV calculation'!B42</f>
        <v>-3005.0999999999767</v>
      </c>
      <c r="F42">
        <f t="shared" si="15"/>
        <v>-18901.509743906856</v>
      </c>
      <c r="G42">
        <f t="shared" si="16"/>
        <v>-1890150.9743906856</v>
      </c>
      <c r="H42">
        <f t="shared" si="17"/>
        <v>-10868368.102746442</v>
      </c>
    </row>
    <row r="43" spans="1:10">
      <c r="A43" s="1">
        <v>45658</v>
      </c>
      <c r="B43" s="36">
        <f>WOPT!O19+WOPT!O41</f>
        <v>69887</v>
      </c>
      <c r="C43" s="36">
        <f>WOPT!P19+WOPT!P41+WOPT!H62</f>
        <v>67077.5</v>
      </c>
      <c r="E43" s="37">
        <f>'NPV calculation'!C43-'NPV calculation'!B43</f>
        <v>-2809.5</v>
      </c>
      <c r="F43">
        <f t="shared" si="15"/>
        <v>-17671.222796415001</v>
      </c>
      <c r="G43">
        <f t="shared" si="16"/>
        <v>-1767122.2796415</v>
      </c>
      <c r="H43">
        <f t="shared" si="17"/>
        <v>-10160953.107938625</v>
      </c>
      <c r="I43" s="3"/>
    </row>
    <row r="44" spans="1:10">
      <c r="E44" s="3">
        <f>SUM(E27:E43)</f>
        <v>447219.69900000008</v>
      </c>
      <c r="H44">
        <f>SUM(H27:H43)</f>
        <v>1617433134.1823914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"/>
  <sheetViews>
    <sheetView workbookViewId="0">
      <selection activeCell="O15" sqref="O15"/>
    </sheetView>
  </sheetViews>
  <sheetFormatPr baseColWidth="10" defaultRowHeight="14" x14ac:dyDescent="0"/>
  <cols>
    <col min="1" max="1" width="10.83203125" customWidth="1"/>
  </cols>
  <sheetData>
    <row r="2" spans="1:14">
      <c r="A2">
        <v>1004790410.4963908</v>
      </c>
      <c r="B2">
        <v>695480802.57954025</v>
      </c>
      <c r="C2">
        <v>142063108.19045079</v>
      </c>
      <c r="D2">
        <v>69928478.566512048</v>
      </c>
      <c r="E2">
        <v>38205834.681243315</v>
      </c>
      <c r="F2">
        <v>12776869.599474948</v>
      </c>
      <c r="G2">
        <v>3052445.069621</v>
      </c>
      <c r="H2">
        <v>-4052807.9917265666</v>
      </c>
      <c r="I2">
        <v>-10594226.709053244</v>
      </c>
      <c r="J2">
        <v>-12303812.9465055</v>
      </c>
      <c r="K2">
        <v>-11898025.817581698</v>
      </c>
      <c r="L2">
        <v>-10868368.102746442</v>
      </c>
      <c r="M2">
        <v>-10160953.107938625</v>
      </c>
    </row>
    <row r="3" spans="1:14">
      <c r="A3">
        <f>-400000000/(10^6)</f>
        <v>-400</v>
      </c>
      <c r="B3">
        <f>A2/(10^6)</f>
        <v>1004.7904104963908</v>
      </c>
      <c r="C3">
        <f t="shared" ref="C3:N3" si="0">B2/(10^6)</f>
        <v>695.4808025795403</v>
      </c>
      <c r="D3">
        <f t="shared" si="0"/>
        <v>142.06310819045078</v>
      </c>
      <c r="E3">
        <f t="shared" si="0"/>
        <v>69.928478566512055</v>
      </c>
      <c r="F3">
        <f t="shared" si="0"/>
        <v>38.205834681243317</v>
      </c>
      <c r="G3">
        <f t="shared" si="0"/>
        <v>12.776869599474947</v>
      </c>
      <c r="H3">
        <f t="shared" si="0"/>
        <v>3.0524450696210002</v>
      </c>
      <c r="I3">
        <f t="shared" si="0"/>
        <v>-4.0528079917265663</v>
      </c>
      <c r="J3">
        <f t="shared" si="0"/>
        <v>-10.594226709053244</v>
      </c>
      <c r="K3">
        <f t="shared" si="0"/>
        <v>-12.3038129465055</v>
      </c>
      <c r="L3">
        <f t="shared" si="0"/>
        <v>-11.898025817581699</v>
      </c>
      <c r="M3">
        <f t="shared" si="0"/>
        <v>-10.868368102746443</v>
      </c>
      <c r="N3">
        <f t="shared" si="0"/>
        <v>-10.160953107938624</v>
      </c>
    </row>
  </sheetData>
  <pageMargins left="0.78740157499999996" right="0.78740157499999996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5" activeCellId="1" sqref="C15 F15"/>
    </sheetView>
  </sheetViews>
  <sheetFormatPr baseColWidth="10" defaultRowHeight="14" x14ac:dyDescent="0"/>
  <cols>
    <col min="3" max="3" width="13.1640625" customWidth="1"/>
  </cols>
  <sheetData>
    <row r="1" spans="1:6">
      <c r="B1" t="s">
        <v>64</v>
      </c>
      <c r="C1" t="s">
        <v>66</v>
      </c>
      <c r="E1" t="s">
        <v>67</v>
      </c>
    </row>
    <row r="2" spans="1:6">
      <c r="A2">
        <v>-400000000</v>
      </c>
      <c r="B2">
        <f>A2/10^6</f>
        <v>-400</v>
      </c>
      <c r="C2" s="31">
        <v>-400000000</v>
      </c>
      <c r="D2">
        <f>C2/10^6</f>
        <v>-400</v>
      </c>
      <c r="E2">
        <v>-400000000</v>
      </c>
      <c r="F2">
        <f>E2/10^6</f>
        <v>-400</v>
      </c>
    </row>
    <row r="3" spans="1:6">
      <c r="A3">
        <v>530361491.20036173</v>
      </c>
      <c r="B3">
        <f t="shared" ref="B3:B15" si="0">A3/10^6</f>
        <v>530.36149120036168</v>
      </c>
      <c r="C3" s="42">
        <v>400919892.42000002</v>
      </c>
      <c r="D3">
        <f t="shared" ref="D3:D15" si="1">C3/10^6</f>
        <v>400.91989242</v>
      </c>
      <c r="E3">
        <v>360873897.80342627</v>
      </c>
      <c r="F3">
        <f t="shared" ref="F3:F15" si="2">E3/10^6</f>
        <v>360.87389780342625</v>
      </c>
    </row>
    <row r="4" spans="1:6">
      <c r="A4">
        <v>1126624182.0264421</v>
      </c>
      <c r="B4">
        <f t="shared" si="0"/>
        <v>1126.624182026442</v>
      </c>
      <c r="C4" s="42">
        <v>914224295.83000004</v>
      </c>
      <c r="D4">
        <f t="shared" si="1"/>
        <v>914.22429583000007</v>
      </c>
      <c r="E4">
        <v>848513081.039886</v>
      </c>
      <c r="F4">
        <f t="shared" si="2"/>
        <v>848.51308103988595</v>
      </c>
    </row>
    <row r="5" spans="1:6">
      <c r="A5">
        <v>1239398457.5675583</v>
      </c>
      <c r="B5">
        <f t="shared" si="0"/>
        <v>1239.3984575675584</v>
      </c>
      <c r="C5" s="42">
        <v>1011308237.38</v>
      </c>
      <c r="D5">
        <f t="shared" si="1"/>
        <v>1011.30823738</v>
      </c>
      <c r="E5">
        <v>940742825.51503372</v>
      </c>
      <c r="F5">
        <f t="shared" si="2"/>
        <v>940.7428255150337</v>
      </c>
    </row>
    <row r="6" spans="1:6">
      <c r="A6">
        <v>1290797976.8745816</v>
      </c>
      <c r="B6">
        <f t="shared" si="0"/>
        <v>1290.7979768745815</v>
      </c>
      <c r="C6" s="42">
        <v>1055556519.22</v>
      </c>
      <c r="D6">
        <f t="shared" si="1"/>
        <v>1055.5565192199999</v>
      </c>
      <c r="E6">
        <v>982778693.26134276</v>
      </c>
      <c r="F6">
        <f t="shared" si="2"/>
        <v>982.77869326134271</v>
      </c>
    </row>
    <row r="7" spans="1:6">
      <c r="A7">
        <v>1316800225.9872851</v>
      </c>
      <c r="B7">
        <f t="shared" si="0"/>
        <v>1316.8002259872851</v>
      </c>
      <c r="C7" s="42">
        <v>1077941064.1099999</v>
      </c>
      <c r="D7">
        <f t="shared" si="1"/>
        <v>1077.9410641099998</v>
      </c>
      <c r="E7">
        <v>1004044010.9052539</v>
      </c>
      <c r="F7">
        <f t="shared" si="2"/>
        <v>1004.0440109052539</v>
      </c>
    </row>
    <row r="8" spans="1:6">
      <c r="A8">
        <v>1324851821.1355205</v>
      </c>
      <c r="B8">
        <f t="shared" si="0"/>
        <v>1324.8518211355204</v>
      </c>
      <c r="C8" s="42">
        <v>1084872437.3299999</v>
      </c>
      <c r="D8">
        <f t="shared" si="1"/>
        <v>1084.8724373299999</v>
      </c>
      <c r="E8">
        <v>1010628815.4590932</v>
      </c>
      <c r="F8">
        <f t="shared" si="2"/>
        <v>1010.6288154590932</v>
      </c>
    </row>
    <row r="9" spans="1:6">
      <c r="A9">
        <v>1326632893.5157096</v>
      </c>
      <c r="B9">
        <f t="shared" si="0"/>
        <v>1326.6328935157096</v>
      </c>
      <c r="C9" s="42">
        <v>1086405708.3299999</v>
      </c>
      <c r="D9">
        <f t="shared" si="1"/>
        <v>1086.4057083299999</v>
      </c>
      <c r="E9">
        <v>1012085422.9143696</v>
      </c>
      <c r="F9">
        <f t="shared" si="2"/>
        <v>1012.0854229143696</v>
      </c>
    </row>
    <row r="10" spans="1:6">
      <c r="A10">
        <v>1324443287.4629188</v>
      </c>
      <c r="B10">
        <f t="shared" si="0"/>
        <v>1324.4432874629188</v>
      </c>
      <c r="C10" s="42">
        <v>1084520743.1199999</v>
      </c>
      <c r="D10">
        <f t="shared" si="1"/>
        <v>1084.5207431199999</v>
      </c>
      <c r="E10">
        <v>1010294705.9642394</v>
      </c>
      <c r="F10">
        <f t="shared" si="2"/>
        <v>1010.2947059642394</v>
      </c>
    </row>
    <row r="11" spans="1:6">
      <c r="A11">
        <v>1319143536.4941583</v>
      </c>
      <c r="B11">
        <f t="shared" si="0"/>
        <v>1319.1435364941583</v>
      </c>
      <c r="C11" s="42">
        <v>1079958348.8099999</v>
      </c>
      <c r="D11">
        <f t="shared" si="1"/>
        <v>1079.95834881</v>
      </c>
      <c r="E11">
        <v>1005960431.367614</v>
      </c>
      <c r="F11">
        <f t="shared" si="2"/>
        <v>1005.960431367614</v>
      </c>
    </row>
    <row r="12" spans="1:6">
      <c r="A12">
        <v>1313444490.458725</v>
      </c>
      <c r="B12">
        <f t="shared" si="0"/>
        <v>1313.4444904587249</v>
      </c>
      <c r="C12" s="42">
        <v>1075052213.53</v>
      </c>
      <c r="D12">
        <f t="shared" si="1"/>
        <v>1075.05221353</v>
      </c>
      <c r="E12">
        <v>1001299602.8490704</v>
      </c>
      <c r="F12">
        <f t="shared" si="2"/>
        <v>1001.2996028490704</v>
      </c>
    </row>
    <row r="13" spans="1:6">
      <c r="A13">
        <v>1308341631.125607</v>
      </c>
      <c r="B13">
        <f t="shared" si="0"/>
        <v>1308.3416311256069</v>
      </c>
      <c r="C13" s="42">
        <v>1070659317.23</v>
      </c>
      <c r="D13">
        <f t="shared" si="1"/>
        <v>1070.6593172299999</v>
      </c>
      <c r="E13">
        <v>997126351.36837709</v>
      </c>
      <c r="F13">
        <f t="shared" si="2"/>
        <v>997.12635136837707</v>
      </c>
    </row>
    <row r="14" spans="1:6">
      <c r="A14">
        <v>1304025652.6179771</v>
      </c>
      <c r="B14">
        <f t="shared" si="0"/>
        <v>1304.0256526179771</v>
      </c>
      <c r="C14" s="42">
        <v>1066943822.6900001</v>
      </c>
      <c r="D14">
        <f t="shared" si="1"/>
        <v>1066.9438226900002</v>
      </c>
      <c r="E14">
        <v>993596631.55409372</v>
      </c>
      <c r="F14">
        <f t="shared" si="2"/>
        <v>993.59663155409373</v>
      </c>
    </row>
    <row r="15" spans="1:6">
      <c r="A15">
        <v>1300289491.2474964</v>
      </c>
      <c r="B15">
        <f t="shared" si="0"/>
        <v>1300.2894912474965</v>
      </c>
      <c r="C15" s="42">
        <v>1063727475.0700001</v>
      </c>
      <c r="D15">
        <f t="shared" si="1"/>
        <v>1063.7274750700001</v>
      </c>
      <c r="E15">
        <v>990541101.32023537</v>
      </c>
      <c r="F15">
        <f t="shared" si="2"/>
        <v>990.54110132023538</v>
      </c>
    </row>
  </sheetData>
  <pageMargins left="0.78740157499999996" right="0.78740157499999996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B9" workbookViewId="0">
      <selection activeCell="B2" sqref="A1:XFD1048576"/>
    </sheetView>
  </sheetViews>
  <sheetFormatPr baseColWidth="10" defaultRowHeight="14" x14ac:dyDescent="0"/>
  <cols>
    <col min="2" max="2" width="21" customWidth="1"/>
    <col min="3" max="3" width="20.83203125" customWidth="1"/>
    <col min="5" max="5" width="17.83203125" customWidth="1"/>
    <col min="9" max="10" width="19.33203125" customWidth="1"/>
  </cols>
  <sheetData>
    <row r="1" spans="1:20" ht="15">
      <c r="A1" s="27" t="s">
        <v>36</v>
      </c>
      <c r="B1" s="27"/>
      <c r="C1" s="28"/>
      <c r="D1" s="28"/>
      <c r="E1" s="28"/>
      <c r="F1" s="28"/>
      <c r="G1" s="28"/>
      <c r="H1" s="22"/>
      <c r="I1" s="22"/>
      <c r="J1" s="22"/>
    </row>
    <row r="2" spans="1:20" ht="15">
      <c r="A2" s="28" t="s">
        <v>35</v>
      </c>
      <c r="B2" s="28"/>
      <c r="C2" s="24">
        <v>90</v>
      </c>
      <c r="D2" s="28" t="s">
        <v>31</v>
      </c>
      <c r="E2" s="28" t="s">
        <v>34</v>
      </c>
      <c r="F2" s="28">
        <v>0.1589873</v>
      </c>
      <c r="G2" s="28" t="s">
        <v>33</v>
      </c>
      <c r="H2" s="22" t="s">
        <v>34</v>
      </c>
      <c r="I2" s="22">
        <v>0.1589873</v>
      </c>
      <c r="J2" s="22" t="s">
        <v>33</v>
      </c>
    </row>
    <row r="3" spans="1:20" ht="15">
      <c r="A3" s="28" t="s">
        <v>32</v>
      </c>
      <c r="B3" s="28"/>
      <c r="C3" s="26">
        <v>0</v>
      </c>
      <c r="D3" s="28" t="s">
        <v>31</v>
      </c>
      <c r="E3" s="28" t="s">
        <v>30</v>
      </c>
      <c r="F3" s="28">
        <v>6.2898105700000002</v>
      </c>
      <c r="G3" s="28" t="s">
        <v>29</v>
      </c>
      <c r="H3" s="22" t="s">
        <v>30</v>
      </c>
      <c r="I3" s="22">
        <v>6.2898105697750699</v>
      </c>
      <c r="J3" s="22" t="s">
        <v>29</v>
      </c>
    </row>
    <row r="4" spans="1:20" ht="15">
      <c r="A4" s="28" t="s">
        <v>22</v>
      </c>
      <c r="B4" s="28"/>
      <c r="C4" s="25">
        <v>0.08</v>
      </c>
      <c r="D4" s="28" t="s">
        <v>28</v>
      </c>
      <c r="E4" s="28"/>
      <c r="F4" s="28"/>
      <c r="G4" s="28"/>
      <c r="H4" s="22"/>
      <c r="I4" s="22"/>
      <c r="J4" s="22"/>
    </row>
    <row r="5" spans="1:20" ht="15">
      <c r="A5" s="28"/>
      <c r="B5" s="28"/>
      <c r="C5" s="25"/>
      <c r="D5" s="28"/>
      <c r="E5" s="28"/>
      <c r="F5" s="28"/>
      <c r="G5" s="28"/>
      <c r="H5" s="22"/>
      <c r="I5" s="22"/>
      <c r="J5" s="22"/>
    </row>
    <row r="6" spans="1:20" ht="15">
      <c r="Q6" s="28"/>
      <c r="R6" s="28"/>
      <c r="S6" s="25"/>
      <c r="T6" s="28"/>
    </row>
    <row r="7" spans="1:20" ht="15">
      <c r="Q7" s="28"/>
      <c r="R7" s="28"/>
      <c r="S7" s="25"/>
      <c r="T7" s="28"/>
    </row>
    <row r="8" spans="1:20" ht="15">
      <c r="Q8" s="28"/>
      <c r="R8" s="28"/>
      <c r="S8" s="25"/>
      <c r="T8" s="28"/>
    </row>
    <row r="9" spans="1:20" ht="15">
      <c r="A9" t="s">
        <v>16</v>
      </c>
      <c r="B9">
        <v>2011</v>
      </c>
      <c r="C9">
        <v>2012</v>
      </c>
      <c r="D9">
        <v>2013</v>
      </c>
      <c r="E9">
        <v>2014</v>
      </c>
      <c r="F9">
        <v>2015</v>
      </c>
      <c r="G9">
        <v>2016</v>
      </c>
      <c r="H9">
        <v>2017</v>
      </c>
      <c r="I9">
        <v>2018</v>
      </c>
      <c r="J9">
        <v>2019</v>
      </c>
      <c r="K9">
        <v>2020</v>
      </c>
      <c r="L9">
        <v>2021</v>
      </c>
      <c r="M9">
        <v>2022</v>
      </c>
      <c r="N9">
        <v>2023</v>
      </c>
      <c r="O9">
        <v>2024</v>
      </c>
      <c r="Q9" s="28" t="s">
        <v>27</v>
      </c>
      <c r="R9" s="28"/>
      <c r="S9" s="24">
        <v>5.5</v>
      </c>
      <c r="T9" s="28" t="s">
        <v>26</v>
      </c>
    </row>
    <row r="10" spans="1:20" ht="15">
      <c r="A10" t="s">
        <v>17</v>
      </c>
      <c r="B10" s="20">
        <v>-400000000</v>
      </c>
      <c r="C10" s="20"/>
      <c r="Q10" s="28"/>
      <c r="R10" s="28"/>
      <c r="S10" s="29"/>
    </row>
    <row r="11" spans="1:20" ht="15">
      <c r="A11" t="s">
        <v>18</v>
      </c>
      <c r="C11" s="3">
        <f>H27+H29+H28+H30</f>
        <v>864993483.81863213</v>
      </c>
      <c r="D11">
        <f>H30+H31</f>
        <v>598718256.13369107</v>
      </c>
      <c r="E11">
        <f>H33</f>
        <v>122297806.18134458</v>
      </c>
      <c r="F11">
        <f>H34</f>
        <v>60199298.9398669</v>
      </c>
      <c r="G11">
        <f>H35</f>
        <v>32890240.29080946</v>
      </c>
      <c r="H11">
        <f>H36</f>
        <v>10999218.176939303</v>
      </c>
      <c r="I11">
        <f>H37</f>
        <v>2627757.0599346003</v>
      </c>
      <c r="J11">
        <f>H38</f>
        <v>-3488939.0537472176</v>
      </c>
      <c r="K11">
        <f>H39</f>
        <v>-9120247.3408371415</v>
      </c>
      <c r="L11">
        <f>H40</f>
        <v>-10591978.101774301</v>
      </c>
      <c r="M11">
        <f>H41</f>
        <v>-10242648.312526854</v>
      </c>
      <c r="N11">
        <f>H42</f>
        <v>-9356247.3232338931</v>
      </c>
      <c r="O11">
        <f>H43</f>
        <v>-8747255.2842254248</v>
      </c>
      <c r="Q11" s="31"/>
      <c r="R11" s="31"/>
      <c r="S11" s="31"/>
      <c r="T11" s="28"/>
    </row>
    <row r="12" spans="1:20" ht="15">
      <c r="A12" t="s">
        <v>61</v>
      </c>
      <c r="B12" s="3">
        <f>1/((1+0.08)^B$19)</f>
        <v>1</v>
      </c>
      <c r="C12" s="3">
        <f t="shared" ref="C12:O12" si="0">1/((1+0.08)^C$19)</f>
        <v>0.92592592592592582</v>
      </c>
      <c r="D12" s="3">
        <f t="shared" si="0"/>
        <v>0.85733882030178321</v>
      </c>
      <c r="E12" s="3">
        <f t="shared" si="0"/>
        <v>0.79383224102016958</v>
      </c>
      <c r="F12" s="3">
        <f t="shared" si="0"/>
        <v>0.73502985279645328</v>
      </c>
      <c r="G12" s="3">
        <f t="shared" si="0"/>
        <v>0.68058319703375303</v>
      </c>
      <c r="H12" s="3">
        <f t="shared" si="0"/>
        <v>0.63016962688310452</v>
      </c>
      <c r="I12" s="3">
        <f t="shared" si="0"/>
        <v>0.58349039526213387</v>
      </c>
      <c r="J12" s="3">
        <f t="shared" si="0"/>
        <v>0.54026888450197574</v>
      </c>
      <c r="K12" s="3">
        <f t="shared" si="0"/>
        <v>0.50024896713145905</v>
      </c>
      <c r="L12" s="3">
        <f t="shared" si="0"/>
        <v>0.46319348808468425</v>
      </c>
      <c r="M12" s="3">
        <f t="shared" si="0"/>
        <v>0.42888285933767062</v>
      </c>
      <c r="N12" s="3">
        <f t="shared" si="0"/>
        <v>0.39711375864599124</v>
      </c>
      <c r="O12" s="3">
        <f t="shared" si="0"/>
        <v>0.36769792467221413</v>
      </c>
      <c r="Q12" s="31"/>
      <c r="R12" s="31"/>
      <c r="S12" s="31"/>
      <c r="T12" s="28"/>
    </row>
    <row r="13" spans="1:20">
      <c r="A13" t="s">
        <v>19</v>
      </c>
      <c r="C13" s="20"/>
      <c r="D13" s="20"/>
      <c r="E13" s="20"/>
      <c r="F13" s="20"/>
      <c r="G13" s="20"/>
      <c r="H13" s="20"/>
      <c r="I13" s="20"/>
      <c r="Q13" s="31"/>
      <c r="R13" s="31"/>
      <c r="S13" s="31"/>
      <c r="T13" s="31"/>
    </row>
    <row r="14" spans="1:20">
      <c r="A14" t="s">
        <v>20</v>
      </c>
      <c r="C14">
        <f>0.78*C11</f>
        <v>674694917.37853312</v>
      </c>
      <c r="D14">
        <f t="shared" ref="D14:O14" si="1">0.78*D11</f>
        <v>467000239.78427905</v>
      </c>
      <c r="E14">
        <f t="shared" si="1"/>
        <v>95392288.821448773</v>
      </c>
      <c r="F14">
        <f t="shared" si="1"/>
        <v>46955453.173096187</v>
      </c>
      <c r="G14">
        <f t="shared" si="1"/>
        <v>25654387.42683138</v>
      </c>
      <c r="H14">
        <f t="shared" si="1"/>
        <v>8579390.178012656</v>
      </c>
      <c r="I14">
        <f t="shared" si="1"/>
        <v>2049650.5067489883</v>
      </c>
      <c r="J14">
        <f t="shared" si="1"/>
        <v>-2721372.46192283</v>
      </c>
      <c r="K14">
        <f t="shared" si="1"/>
        <v>-7113792.9258529702</v>
      </c>
      <c r="L14">
        <f t="shared" si="1"/>
        <v>-8261742.9193839552</v>
      </c>
      <c r="M14">
        <f t="shared" si="1"/>
        <v>-7989265.6837709462</v>
      </c>
      <c r="N14">
        <f t="shared" si="1"/>
        <v>-7297872.9121224368</v>
      </c>
      <c r="O14">
        <f t="shared" si="1"/>
        <v>-6822859.1216958314</v>
      </c>
    </row>
    <row r="16" spans="1:20">
      <c r="A16" s="21" t="s">
        <v>21</v>
      </c>
      <c r="B16" s="21">
        <f>B$10*(1/(1+0.08)^B$19)</f>
        <v>-400000000</v>
      </c>
      <c r="C16" s="39">
        <f>C10+C11+C13</f>
        <v>864993483.81863213</v>
      </c>
      <c r="D16" s="21">
        <f>D11+D13</f>
        <v>598718256.13369107</v>
      </c>
      <c r="E16" s="39">
        <f t="shared" ref="E16" si="2">E10+E11+E13</f>
        <v>122297806.18134458</v>
      </c>
      <c r="F16" s="21">
        <f t="shared" ref="F16" si="3">F11+F13</f>
        <v>60199298.9398669</v>
      </c>
      <c r="G16" s="39">
        <f t="shared" ref="G16" si="4">G10+G11+G13</f>
        <v>32890240.29080946</v>
      </c>
      <c r="H16" s="21">
        <f t="shared" ref="H16" si="5">H11+H13</f>
        <v>10999218.176939303</v>
      </c>
      <c r="I16" s="39">
        <f t="shared" ref="I16" si="6">I10+I11+I13</f>
        <v>2627757.0599346003</v>
      </c>
      <c r="J16" s="21">
        <f t="shared" ref="J16" si="7">J11+J13</f>
        <v>-3488939.0537472176</v>
      </c>
      <c r="K16" s="39">
        <f t="shared" ref="K16" si="8">K10+K11+K13</f>
        <v>-9120247.3408371415</v>
      </c>
      <c r="L16" s="21">
        <f t="shared" ref="L16" si="9">L11+L13</f>
        <v>-10591978.101774301</v>
      </c>
      <c r="M16" s="39">
        <f t="shared" ref="M16" si="10">M10+M11+M13</f>
        <v>-10242648.312526854</v>
      </c>
      <c r="N16" s="21">
        <f t="shared" ref="N16" si="11">N11+N13</f>
        <v>-9356247.3232338931</v>
      </c>
      <c r="O16" s="39">
        <f t="shared" ref="O16" si="12">O10+O11+O13</f>
        <v>-8747255.2842254248</v>
      </c>
    </row>
    <row r="18" spans="1:20">
      <c r="A18" t="s">
        <v>22</v>
      </c>
      <c r="B18">
        <v>0.08</v>
      </c>
      <c r="C18">
        <v>0.08</v>
      </c>
      <c r="D18">
        <v>0.08</v>
      </c>
      <c r="E18">
        <v>0.08</v>
      </c>
      <c r="F18">
        <v>0.08</v>
      </c>
      <c r="G18">
        <v>0.08</v>
      </c>
      <c r="H18">
        <v>0.08</v>
      </c>
      <c r="I18">
        <v>0.08</v>
      </c>
      <c r="J18">
        <v>0.08</v>
      </c>
      <c r="K18">
        <v>0.08</v>
      </c>
      <c r="L18">
        <v>0.08</v>
      </c>
      <c r="M18">
        <v>0.08</v>
      </c>
      <c r="N18">
        <v>0.08</v>
      </c>
      <c r="O18">
        <v>0.08</v>
      </c>
    </row>
    <row r="19" spans="1:20">
      <c r="A19" s="40" t="s">
        <v>23</v>
      </c>
      <c r="B19" s="40">
        <v>0</v>
      </c>
      <c r="C19" s="40">
        <v>1</v>
      </c>
      <c r="D19" s="40">
        <v>2</v>
      </c>
      <c r="E19" s="40">
        <v>3</v>
      </c>
      <c r="F19" s="40">
        <v>4</v>
      </c>
      <c r="G19" s="40">
        <v>5</v>
      </c>
      <c r="H19" s="40">
        <v>6</v>
      </c>
      <c r="I19" s="40">
        <v>7</v>
      </c>
      <c r="J19" s="40">
        <v>8</v>
      </c>
      <c r="K19" s="40">
        <v>9</v>
      </c>
      <c r="L19" s="40">
        <v>10</v>
      </c>
      <c r="M19" s="40">
        <v>11</v>
      </c>
      <c r="N19" s="40">
        <v>12</v>
      </c>
      <c r="O19" s="40">
        <v>13</v>
      </c>
      <c r="P19" s="40"/>
      <c r="Q19" s="40"/>
      <c r="R19" s="40"/>
      <c r="S19" s="40"/>
      <c r="T19" s="40"/>
    </row>
    <row r="20" spans="1:20">
      <c r="A20" t="s">
        <v>24</v>
      </c>
      <c r="B20">
        <f>B$10*(1/(1+0.08)^B$19)</f>
        <v>-400000000</v>
      </c>
      <c r="C20" s="3">
        <f t="shared" ref="C20:N20" si="13">C$16*(1/(1+0.08)^C$19)</f>
        <v>800919892.42465925</v>
      </c>
      <c r="D20" s="3">
        <f t="shared" si="13"/>
        <v>513304403.40679955</v>
      </c>
      <c r="E20" s="3">
        <f t="shared" si="13"/>
        <v>97083941.552787125</v>
      </c>
      <c r="F20" s="3">
        <f t="shared" si="13"/>
        <v>44248281.838220052</v>
      </c>
      <c r="G20" s="3">
        <f t="shared" si="13"/>
        <v>22384544.888327457</v>
      </c>
      <c r="H20" s="3">
        <f t="shared" si="13"/>
        <v>6931373.2145677013</v>
      </c>
      <c r="I20" s="3">
        <f t="shared" si="13"/>
        <v>1533271.0055541026</v>
      </c>
      <c r="J20" s="3">
        <f t="shared" si="13"/>
        <v>-1884965.210663388</v>
      </c>
      <c r="K20" s="3">
        <f t="shared" si="13"/>
        <v>-4562394.3122372162</v>
      </c>
      <c r="L20" s="3">
        <f t="shared" si="13"/>
        <v>-4906135.2826774316</v>
      </c>
      <c r="M20" s="3">
        <f t="shared" si="13"/>
        <v>-4392896.2954666838</v>
      </c>
      <c r="N20" s="3">
        <f t="shared" si="13"/>
        <v>-3715494.5413509058</v>
      </c>
      <c r="O20" s="3">
        <f>O$16*(1/(1+0.08)^O$19)</f>
        <v>-3216347.614587747</v>
      </c>
    </row>
    <row r="22" spans="1:20" ht="15" thickBot="1">
      <c r="A22" t="s">
        <v>25</v>
      </c>
      <c r="B22" s="41">
        <f>B20+C20+D20+E20+F20+G20+H20+I20+J20+K20+L20+M20+N20+O20</f>
        <v>1063727475.0739318</v>
      </c>
    </row>
    <row r="23" spans="1:20" ht="15" thickTop="1"/>
    <row r="26" spans="1:20">
      <c r="A26" t="s">
        <v>40</v>
      </c>
      <c r="B26" t="s">
        <v>38</v>
      </c>
      <c r="C26" t="s">
        <v>39</v>
      </c>
      <c r="E26" s="3" t="s">
        <v>53</v>
      </c>
      <c r="F26" t="s">
        <v>55</v>
      </c>
      <c r="G26" t="s">
        <v>56</v>
      </c>
      <c r="H26" t="s">
        <v>57</v>
      </c>
      <c r="I26" t="s">
        <v>62</v>
      </c>
      <c r="J26" t="s">
        <v>63</v>
      </c>
      <c r="K26" t="s">
        <v>58</v>
      </c>
    </row>
    <row r="27" spans="1:20">
      <c r="A27" s="1">
        <v>40918</v>
      </c>
      <c r="E27" s="3">
        <v>8996.7199999999993</v>
      </c>
      <c r="F27">
        <f t="shared" ref="F27:F43" si="14">E27*$F$3</f>
        <v>56587.664551330396</v>
      </c>
      <c r="G27">
        <f>F27*90</f>
        <v>5092889.8096197359</v>
      </c>
      <c r="H27">
        <f>G27*$S$9</f>
        <v>28010893.952908546</v>
      </c>
      <c r="I27">
        <f>B$20</f>
        <v>-400000000</v>
      </c>
      <c r="J27">
        <f>I27</f>
        <v>-400000000</v>
      </c>
      <c r="K27" t="s">
        <v>59</v>
      </c>
    </row>
    <row r="28" spans="1:20" ht="32">
      <c r="A28" s="1">
        <v>41061</v>
      </c>
      <c r="B28" s="36">
        <f>WOPT!O4+WOPT!O26</f>
        <v>58092</v>
      </c>
      <c r="C28" s="36">
        <f>WOPT!P4+WOPT!P26+WOPT!H47</f>
        <v>190007.37900000007</v>
      </c>
      <c r="E28" s="37">
        <f>'NPV calculation'!C28-'NPV calculation'!B28</f>
        <v>131915.37900000007</v>
      </c>
      <c r="F28">
        <f t="shared" si="14"/>
        <v>829722.74517975654</v>
      </c>
      <c r="G28">
        <f t="shared" ref="G28:G43" si="15">F28*90</f>
        <v>74675047.066178083</v>
      </c>
      <c r="H28">
        <f t="shared" ref="H28:H43" si="16">G28*$S$9</f>
        <v>410712758.86397946</v>
      </c>
      <c r="I28" s="3">
        <f>C20</f>
        <v>800919892.42465925</v>
      </c>
      <c r="J28" s="3">
        <f>J27+I28</f>
        <v>400919892.42465925</v>
      </c>
      <c r="K28" s="38" t="s">
        <v>60</v>
      </c>
    </row>
    <row r="29" spans="1:20">
      <c r="A29" s="1">
        <v>41062</v>
      </c>
      <c r="B29" s="36">
        <f>WOPT!O5+WOPT!O27</f>
        <v>399</v>
      </c>
      <c r="C29" s="36">
        <f>WOPT!P5+WOPT!P27+WOPT!H48</f>
        <v>1267.3000000000175</v>
      </c>
      <c r="E29" s="37">
        <f>'NPV calculation'!C29-'NPV calculation'!B29</f>
        <v>868.30000000001746</v>
      </c>
      <c r="F29">
        <f t="shared" si="14"/>
        <v>5461.4425179311102</v>
      </c>
      <c r="G29">
        <f t="shared" si="15"/>
        <v>491529.8266137999</v>
      </c>
      <c r="H29">
        <f t="shared" si="16"/>
        <v>2703414.0463758996</v>
      </c>
      <c r="I29" s="3">
        <f>D$20</f>
        <v>513304403.40679955</v>
      </c>
      <c r="J29" s="3">
        <f t="shared" ref="J29:J40" si="17">J28+I29</f>
        <v>914224295.83145881</v>
      </c>
    </row>
    <row r="30" spans="1:20">
      <c r="A30" s="1">
        <v>41275</v>
      </c>
      <c r="B30" s="36">
        <f>WOPT!O6+WOPT!O28</f>
        <v>83020</v>
      </c>
      <c r="C30" s="36">
        <f>WOPT!P6+WOPT!P28+WOPT!H49</f>
        <v>219063.8</v>
      </c>
      <c r="E30" s="37">
        <f>'NPV calculation'!C30-'NPV calculation'!B30</f>
        <v>136043.79999999999</v>
      </c>
      <c r="F30">
        <f t="shared" si="14"/>
        <v>855689.73122296599</v>
      </c>
      <c r="G30">
        <f t="shared" si="15"/>
        <v>77012075.810066938</v>
      </c>
      <c r="H30">
        <f t="shared" si="16"/>
        <v>423566416.95536816</v>
      </c>
      <c r="I30" s="3">
        <f>E$20</f>
        <v>97083941.552787125</v>
      </c>
      <c r="J30" s="3">
        <f t="shared" si="17"/>
        <v>1011308237.3842459</v>
      </c>
    </row>
    <row r="31" spans="1:20">
      <c r="A31" s="1">
        <v>41426</v>
      </c>
      <c r="B31" s="36">
        <f>WOPT!O7+WOPT!O29</f>
        <v>56284</v>
      </c>
      <c r="C31" s="36">
        <f>WOPT!P7+WOPT!P29+WOPT!H50</f>
        <v>112540.39999999991</v>
      </c>
      <c r="E31" s="37">
        <f>'NPV calculation'!C31-'NPV calculation'!B31</f>
        <v>56256.399999999907</v>
      </c>
      <c r="F31">
        <f t="shared" si="14"/>
        <v>353842.09935014741</v>
      </c>
      <c r="G31">
        <f t="shared" si="15"/>
        <v>31845788.941513266</v>
      </c>
      <c r="H31">
        <f t="shared" si="16"/>
        <v>175151839.17832297</v>
      </c>
      <c r="I31" s="3">
        <f>F$20</f>
        <v>44248281.838220052</v>
      </c>
      <c r="J31" s="3">
        <f t="shared" si="17"/>
        <v>1055556519.2224659</v>
      </c>
    </row>
    <row r="32" spans="1:20">
      <c r="A32" s="1">
        <v>41640</v>
      </c>
      <c r="B32" s="36">
        <f>WOPT!O8+WOPT!O30</f>
        <v>75861</v>
      </c>
      <c r="C32" s="36">
        <f>WOPT!P8+WOPT!P30+WOPT!H51</f>
        <v>132000.10000000009</v>
      </c>
      <c r="E32" s="37">
        <f>'NPV calculation'!C32-'NPV calculation'!B32</f>
        <v>56139.100000000093</v>
      </c>
      <c r="F32">
        <f t="shared" si="14"/>
        <v>353104.30457028758</v>
      </c>
      <c r="G32">
        <f t="shared" si="15"/>
        <v>31779387.411325883</v>
      </c>
      <c r="H32">
        <f t="shared" si="16"/>
        <v>174786630.76229236</v>
      </c>
      <c r="I32" s="3">
        <f>G$20</f>
        <v>22384544.888327457</v>
      </c>
      <c r="J32" s="3">
        <f t="shared" si="17"/>
        <v>1077941064.1107934</v>
      </c>
    </row>
    <row r="33" spans="1:14">
      <c r="A33" s="1">
        <v>42005</v>
      </c>
      <c r="B33" s="36">
        <f>WOPT!O9+WOPT!O31</f>
        <v>119867</v>
      </c>
      <c r="C33" s="36">
        <f>WOPT!P9+WOPT!P31+WOPT!H52</f>
        <v>159147.39999999991</v>
      </c>
      <c r="E33" s="37">
        <f>'NPV calculation'!C33-'NPV calculation'!B33</f>
        <v>39280.399999999907</v>
      </c>
      <c r="F33">
        <f t="shared" si="14"/>
        <v>247066.27511382743</v>
      </c>
      <c r="G33">
        <f t="shared" si="15"/>
        <v>22235964.76024447</v>
      </c>
      <c r="H33">
        <f t="shared" si="16"/>
        <v>122297806.18134458</v>
      </c>
      <c r="I33" s="3">
        <f>H$20</f>
        <v>6931373.2145677013</v>
      </c>
      <c r="J33" s="3">
        <f t="shared" si="17"/>
        <v>1084872437.325361</v>
      </c>
    </row>
    <row r="34" spans="1:14">
      <c r="A34" s="1">
        <v>42370</v>
      </c>
      <c r="B34" s="36">
        <f>WOPT!O10+WOPT!O32</f>
        <v>109911</v>
      </c>
      <c r="C34" s="36">
        <f>WOPT!P10+WOPT!P32+WOPT!H53</f>
        <v>129246.20000000007</v>
      </c>
      <c r="E34" s="37">
        <f>'NPV calculation'!C34-'NPV calculation'!B34</f>
        <v>19335.20000000007</v>
      </c>
      <c r="F34">
        <f t="shared" si="14"/>
        <v>121614.74533306445</v>
      </c>
      <c r="G34">
        <f t="shared" si="15"/>
        <v>10945327.079975801</v>
      </c>
      <c r="H34">
        <f t="shared" si="16"/>
        <v>60199298.9398669</v>
      </c>
      <c r="I34" s="3">
        <f>I$20</f>
        <v>1533271.0055541026</v>
      </c>
      <c r="J34" s="3">
        <f t="shared" si="17"/>
        <v>1086405708.3309152</v>
      </c>
    </row>
    <row r="35" spans="1:14">
      <c r="A35" s="1">
        <v>42736</v>
      </c>
      <c r="B35" s="36">
        <f>WOPT!O11+WOPT!O33</f>
        <v>103766</v>
      </c>
      <c r="C35" s="36">
        <f>WOPT!P11+WOPT!P33+WOPT!H54</f>
        <v>114329.90000000002</v>
      </c>
      <c r="E35" s="37">
        <f>'NPV calculation'!C35-'NPV calculation'!B35</f>
        <v>10563.900000000023</v>
      </c>
      <c r="F35">
        <f t="shared" si="14"/>
        <v>66444.929880423151</v>
      </c>
      <c r="G35">
        <f t="shared" si="15"/>
        <v>5980043.6892380835</v>
      </c>
      <c r="H35">
        <f t="shared" si="16"/>
        <v>32890240.29080946</v>
      </c>
      <c r="I35" s="3">
        <f>J$20</f>
        <v>-1884965.210663388</v>
      </c>
      <c r="J35" s="3">
        <f t="shared" si="17"/>
        <v>1084520743.1202519</v>
      </c>
    </row>
    <row r="36" spans="1:14">
      <c r="A36" s="1">
        <v>43101</v>
      </c>
      <c r="B36" s="36">
        <f>WOPT!O12+WOPT!O34</f>
        <v>98577</v>
      </c>
      <c r="C36" s="36">
        <f>WOPT!P12+WOPT!P34+WOPT!H55</f>
        <v>102109.79999999993</v>
      </c>
      <c r="E36" s="37">
        <f>'NPV calculation'!C36-'NPV calculation'!B36</f>
        <v>3532.7999999999302</v>
      </c>
      <c r="F36">
        <f t="shared" si="14"/>
        <v>22220.642781695562</v>
      </c>
      <c r="G36">
        <f t="shared" si="15"/>
        <v>1999857.8503526007</v>
      </c>
      <c r="H36">
        <f t="shared" si="16"/>
        <v>10999218.176939303</v>
      </c>
      <c r="I36" s="3">
        <f>K$20</f>
        <v>-4562394.3122372162</v>
      </c>
      <c r="J36" s="3">
        <f t="shared" si="17"/>
        <v>1079958348.8080146</v>
      </c>
    </row>
    <row r="37" spans="1:14">
      <c r="A37" s="1">
        <v>43466</v>
      </c>
      <c r="B37" s="36">
        <f>WOPT!O13+WOPT!O35</f>
        <v>93044</v>
      </c>
      <c r="C37" s="36">
        <f>WOPT!P13+WOPT!P35+WOPT!H56</f>
        <v>93888</v>
      </c>
      <c r="E37" s="37">
        <f>'NPV calculation'!C37-'NPV calculation'!B37</f>
        <v>844</v>
      </c>
      <c r="F37">
        <f t="shared" si="14"/>
        <v>5308.6001210800005</v>
      </c>
      <c r="G37">
        <f t="shared" si="15"/>
        <v>477774.01089720003</v>
      </c>
      <c r="H37">
        <f t="shared" si="16"/>
        <v>2627757.0599346003</v>
      </c>
      <c r="I37" s="3">
        <f>L$20</f>
        <v>-4906135.2826774316</v>
      </c>
      <c r="J37" s="3">
        <f t="shared" si="17"/>
        <v>1075052213.5253372</v>
      </c>
    </row>
    <row r="38" spans="1:14">
      <c r="A38" s="1">
        <v>43831</v>
      </c>
      <c r="B38" s="36">
        <f>WOPT!O14+WOPT!O36</f>
        <v>87859</v>
      </c>
      <c r="C38" s="36">
        <f>WOPT!P14+WOPT!P36+WOPT!H57</f>
        <v>86738.400000000023</v>
      </c>
      <c r="E38" s="37">
        <f>'NPV calculation'!C38-'NPV calculation'!B38</f>
        <v>-1120.5999999999767</v>
      </c>
      <c r="F38">
        <f t="shared" si="14"/>
        <v>-7048.3617247418542</v>
      </c>
      <c r="G38">
        <f t="shared" si="15"/>
        <v>-634352.55522676685</v>
      </c>
      <c r="H38">
        <f t="shared" si="16"/>
        <v>-3488939.0537472176</v>
      </c>
      <c r="I38" s="3">
        <f>M$20</f>
        <v>-4392896.2954666838</v>
      </c>
      <c r="J38" s="3">
        <f t="shared" si="17"/>
        <v>1070659317.2298706</v>
      </c>
    </row>
    <row r="39" spans="1:14">
      <c r="A39" s="1">
        <v>44197</v>
      </c>
      <c r="B39" s="36">
        <f>WOPT!O15+WOPT!O37</f>
        <v>83715</v>
      </c>
      <c r="C39" s="36">
        <f>WOPT!P15+WOPT!P37+WOPT!H58</f>
        <v>80785.699999999953</v>
      </c>
      <c r="E39" s="37">
        <f>'NPV calculation'!C39-'NPV calculation'!B39</f>
        <v>-2929.3000000000466</v>
      </c>
      <c r="F39">
        <f t="shared" si="14"/>
        <v>-18424.742102701293</v>
      </c>
      <c r="G39">
        <f t="shared" si="15"/>
        <v>-1658226.7892431165</v>
      </c>
      <c r="H39">
        <f t="shared" si="16"/>
        <v>-9120247.3408371415</v>
      </c>
      <c r="I39" s="3">
        <f>N$20</f>
        <v>-3715494.5413509058</v>
      </c>
      <c r="J39" s="3">
        <f t="shared" si="17"/>
        <v>1066943822.6885196</v>
      </c>
    </row>
    <row r="40" spans="1:14">
      <c r="A40" s="1">
        <v>44562</v>
      </c>
      <c r="B40" s="36">
        <f>WOPT!O16+WOPT!O38</f>
        <v>79537</v>
      </c>
      <c r="C40" s="36">
        <f>WOPT!P16+WOPT!P38+WOPT!H59</f>
        <v>76135</v>
      </c>
      <c r="E40" s="37">
        <f>'NPV calculation'!C40-'NPV calculation'!B40</f>
        <v>-3402</v>
      </c>
      <c r="F40">
        <f t="shared" si="14"/>
        <v>-21397.935559140002</v>
      </c>
      <c r="G40">
        <f t="shared" si="15"/>
        <v>-1925814.2003226001</v>
      </c>
      <c r="H40">
        <f t="shared" si="16"/>
        <v>-10591978.101774301</v>
      </c>
      <c r="I40" s="3">
        <f>O$20</f>
        <v>-3216347.614587747</v>
      </c>
      <c r="J40" s="3">
        <f t="shared" si="17"/>
        <v>1063727475.0739318</v>
      </c>
    </row>
    <row r="41" spans="1:14">
      <c r="A41" s="1">
        <v>44927</v>
      </c>
      <c r="B41" s="36">
        <f>WOPT!O17+WOPT!O39</f>
        <v>75952</v>
      </c>
      <c r="C41" s="36">
        <f>WOPT!P17+WOPT!P39+WOPT!H60</f>
        <v>72662.20000000007</v>
      </c>
      <c r="E41" s="37">
        <f>'NPV calculation'!C41-'NPV calculation'!B41</f>
        <v>-3289.7999999999302</v>
      </c>
      <c r="F41">
        <f t="shared" si="14"/>
        <v>-20692.218813185562</v>
      </c>
      <c r="G41">
        <f t="shared" si="15"/>
        <v>-1862299.6931867006</v>
      </c>
      <c r="H41">
        <f t="shared" si="16"/>
        <v>-10242648.312526854</v>
      </c>
      <c r="I41" s="3"/>
      <c r="J41" s="3"/>
    </row>
    <row r="42" spans="1:14">
      <c r="A42" s="1">
        <v>45292</v>
      </c>
      <c r="B42" s="36">
        <f>WOPT!O18+WOPT!O40</f>
        <v>72642</v>
      </c>
      <c r="C42" s="36">
        <f>WOPT!P18+WOPT!P40+WOPT!H61</f>
        <v>69636.900000000023</v>
      </c>
      <c r="E42" s="37">
        <f>'NPV calculation'!C42-'NPV calculation'!B42</f>
        <v>-3005.0999999999767</v>
      </c>
      <c r="F42">
        <f t="shared" si="14"/>
        <v>-18901.509743906856</v>
      </c>
      <c r="G42">
        <f t="shared" si="15"/>
        <v>-1701135.876951617</v>
      </c>
      <c r="H42">
        <f t="shared" si="16"/>
        <v>-9356247.3232338931</v>
      </c>
    </row>
    <row r="43" spans="1:14">
      <c r="A43" s="1">
        <v>45658</v>
      </c>
      <c r="B43" s="36">
        <f>WOPT!O19+WOPT!O41</f>
        <v>69887</v>
      </c>
      <c r="C43" s="36">
        <f>WOPT!P19+WOPT!P41+WOPT!H62</f>
        <v>67077.5</v>
      </c>
      <c r="E43" s="37">
        <f>'NPV calculation'!C43-'NPV calculation'!B43</f>
        <v>-2809.5</v>
      </c>
      <c r="F43">
        <f t="shared" si="14"/>
        <v>-17671.222796415001</v>
      </c>
      <c r="G43">
        <f t="shared" si="15"/>
        <v>-1590410.05167735</v>
      </c>
      <c r="H43">
        <f t="shared" si="16"/>
        <v>-8747255.2842254248</v>
      </c>
      <c r="I43" s="3"/>
    </row>
    <row r="44" spans="1:14">
      <c r="E44" s="3">
        <f>SUM(E27:E43)</f>
        <v>447219.69900000008</v>
      </c>
      <c r="H44">
        <f>SUM(H27:H43)</f>
        <v>1392398958.9917972</v>
      </c>
    </row>
    <row r="46" spans="1:14">
      <c r="A46">
        <f>-400000000/10^6</f>
        <v>-400</v>
      </c>
      <c r="B46">
        <f>864993483.818632/10^6</f>
        <v>864.99348381863206</v>
      </c>
      <c r="C46">
        <f>598718256.133691/10^6</f>
        <v>598.71825613369094</v>
      </c>
      <c r="D46">
        <f>122297806.181345/10^6</f>
        <v>122.297806181345</v>
      </c>
      <c r="E46">
        <f>60199298.9398669/10^6</f>
        <v>60.1992989398669</v>
      </c>
      <c r="F46">
        <f>32890240.2908095/10^6</f>
        <v>32.890240290809501</v>
      </c>
      <c r="G46">
        <f>10999218.1769393/10^6</f>
        <v>10.9992181769393</v>
      </c>
      <c r="H46">
        <f>2627757.0599346/10^6</f>
        <v>2.6277570599345998</v>
      </c>
      <c r="I46">
        <f>-3488939.05374722/10^6</f>
        <v>-3.4889390537472198</v>
      </c>
      <c r="J46">
        <f>-9120247.34083714/10^6</f>
        <v>-9.1202473408371389</v>
      </c>
      <c r="K46">
        <f>-10591978.1017743/10^6</f>
        <v>-10.5919781017743</v>
      </c>
      <c r="L46">
        <f>-10242648.3125269/10^6</f>
        <v>-10.242648312526899</v>
      </c>
      <c r="M46">
        <f>-9356247.32323389/10^6</f>
        <v>-9.3562473232338892</v>
      </c>
      <c r="N46">
        <f>-8747255.28422542/10^6</f>
        <v>-8.7472552842254192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7" workbookViewId="0">
      <selection activeCell="O46" sqref="O46"/>
    </sheetView>
  </sheetViews>
  <sheetFormatPr baseColWidth="10" defaultRowHeight="14" x14ac:dyDescent="0"/>
  <cols>
    <col min="2" max="2" width="21" customWidth="1"/>
    <col min="3" max="3" width="20.83203125" customWidth="1"/>
    <col min="4" max="4" width="14.6640625" customWidth="1"/>
    <col min="5" max="5" width="17.83203125" customWidth="1"/>
    <col min="9" max="10" width="19.33203125" customWidth="1"/>
  </cols>
  <sheetData>
    <row r="1" spans="1:20" ht="15">
      <c r="A1" s="27" t="s">
        <v>36</v>
      </c>
      <c r="B1" s="27"/>
      <c r="C1" s="28"/>
      <c r="D1" s="28"/>
      <c r="E1" s="28"/>
      <c r="F1" s="28"/>
      <c r="G1" s="28"/>
      <c r="H1" s="22"/>
      <c r="I1" s="22"/>
      <c r="J1" s="22"/>
    </row>
    <row r="2" spans="1:20" ht="15">
      <c r="A2" s="28" t="s">
        <v>35</v>
      </c>
      <c r="B2" s="28"/>
      <c r="C2" s="24">
        <v>110</v>
      </c>
      <c r="D2" s="28" t="s">
        <v>31</v>
      </c>
      <c r="E2" s="28" t="s">
        <v>34</v>
      </c>
      <c r="F2" s="28">
        <v>0.1589873</v>
      </c>
      <c r="G2" s="28" t="s">
        <v>33</v>
      </c>
      <c r="H2" s="22" t="s">
        <v>34</v>
      </c>
      <c r="I2" s="22">
        <v>0.1589873</v>
      </c>
      <c r="J2" s="22" t="s">
        <v>33</v>
      </c>
    </row>
    <row r="3" spans="1:20" ht="15">
      <c r="A3" s="28" t="s">
        <v>32</v>
      </c>
      <c r="B3" s="28"/>
      <c r="C3" s="26">
        <v>0</v>
      </c>
      <c r="D3" s="28" t="s">
        <v>31</v>
      </c>
      <c r="E3" s="28" t="s">
        <v>30</v>
      </c>
      <c r="F3" s="28">
        <v>6.2898105700000002</v>
      </c>
      <c r="G3" s="28" t="s">
        <v>29</v>
      </c>
      <c r="H3" s="22" t="s">
        <v>30</v>
      </c>
      <c r="I3" s="22">
        <v>6.2898105697750699</v>
      </c>
      <c r="J3" s="22" t="s">
        <v>29</v>
      </c>
    </row>
    <row r="4" spans="1:20" ht="15">
      <c r="A4" s="28" t="s">
        <v>22</v>
      </c>
      <c r="B4" s="28"/>
      <c r="C4" s="25">
        <v>0.08</v>
      </c>
      <c r="D4" s="28" t="s">
        <v>28</v>
      </c>
      <c r="E4" s="28"/>
      <c r="F4" s="28"/>
      <c r="G4" s="28"/>
      <c r="H4" s="22"/>
      <c r="I4" s="22"/>
      <c r="J4" s="22"/>
    </row>
    <row r="5" spans="1:20" ht="15">
      <c r="A5" s="28"/>
      <c r="B5" s="28"/>
      <c r="C5" s="25"/>
      <c r="D5" s="28"/>
      <c r="E5" s="28"/>
      <c r="F5" s="28"/>
      <c r="G5" s="28"/>
      <c r="H5" s="22"/>
      <c r="I5" s="22"/>
      <c r="J5" s="22"/>
    </row>
    <row r="6" spans="1:20" ht="15">
      <c r="Q6" s="28"/>
      <c r="R6" s="28"/>
      <c r="S6" s="25"/>
      <c r="T6" s="28"/>
    </row>
    <row r="7" spans="1:20" ht="15">
      <c r="Q7" s="28"/>
      <c r="R7" s="28"/>
      <c r="S7" s="25"/>
      <c r="T7" s="28"/>
    </row>
    <row r="8" spans="1:20" ht="15">
      <c r="Q8" s="28"/>
      <c r="R8" s="28"/>
      <c r="S8" s="25"/>
      <c r="T8" s="28"/>
    </row>
    <row r="9" spans="1:20" ht="15">
      <c r="A9" t="s">
        <v>16</v>
      </c>
      <c r="B9">
        <v>2011</v>
      </c>
      <c r="C9">
        <v>2012</v>
      </c>
      <c r="D9">
        <v>2013</v>
      </c>
      <c r="E9">
        <v>2014</v>
      </c>
      <c r="F9">
        <v>2015</v>
      </c>
      <c r="G9">
        <v>2016</v>
      </c>
      <c r="H9">
        <v>2017</v>
      </c>
      <c r="I9">
        <v>2018</v>
      </c>
      <c r="J9">
        <v>2019</v>
      </c>
      <c r="K9">
        <v>2020</v>
      </c>
      <c r="L9">
        <v>2021</v>
      </c>
      <c r="M9">
        <v>2022</v>
      </c>
      <c r="N9">
        <v>2023</v>
      </c>
      <c r="O9">
        <v>2024</v>
      </c>
      <c r="Q9" s="28" t="s">
        <v>27</v>
      </c>
      <c r="R9" s="28"/>
      <c r="S9" s="24">
        <v>5.5</v>
      </c>
      <c r="T9" s="28" t="s">
        <v>26</v>
      </c>
    </row>
    <row r="10" spans="1:20" ht="15">
      <c r="A10" t="s">
        <v>17</v>
      </c>
      <c r="B10" s="20">
        <v>-400000000</v>
      </c>
      <c r="C10" s="20"/>
      <c r="Q10" s="28"/>
      <c r="R10" s="28"/>
      <c r="S10" s="29"/>
    </row>
    <row r="11" spans="1:20" ht="15">
      <c r="A11" t="s">
        <v>18</v>
      </c>
      <c r="C11" s="3">
        <f>H27+H29+H28+H30</f>
        <v>1057214258.0005504</v>
      </c>
      <c r="D11">
        <f>H30+H31</f>
        <v>731766757.49673367</v>
      </c>
      <c r="E11">
        <f>H33</f>
        <v>149475096.4438656</v>
      </c>
      <c r="F11">
        <f>H34</f>
        <v>73576920.926503986</v>
      </c>
      <c r="G11">
        <f>H35</f>
        <v>40199182.577656008</v>
      </c>
      <c r="H11">
        <f>H36</f>
        <v>13443488.882925816</v>
      </c>
      <c r="I11">
        <f>H37</f>
        <v>3211703.0732534002</v>
      </c>
      <c r="J11">
        <f>H38</f>
        <v>-4264258.8434688216</v>
      </c>
      <c r="K11">
        <f>H39</f>
        <v>-11146968.972134283</v>
      </c>
      <c r="L11">
        <f>H40</f>
        <v>-12945751.013279701</v>
      </c>
      <c r="M11">
        <f>H41</f>
        <v>-12518792.381977266</v>
      </c>
      <c r="N11">
        <f>H42</f>
        <v>-11435413.395063648</v>
      </c>
      <c r="O11">
        <f>H43</f>
        <v>-10691089.791831074</v>
      </c>
      <c r="Q11" s="31"/>
      <c r="R11" s="31"/>
      <c r="S11" s="31"/>
      <c r="T11" s="28"/>
    </row>
    <row r="12" spans="1:20" ht="15">
      <c r="A12" t="s">
        <v>61</v>
      </c>
      <c r="B12" s="3">
        <f>1/((1+0.08)^B$19)</f>
        <v>1</v>
      </c>
      <c r="C12" s="3">
        <f t="shared" ref="C12:O12" si="0">1/((1+0.08)^C$19)</f>
        <v>0.92592592592592582</v>
      </c>
      <c r="D12" s="3">
        <f t="shared" si="0"/>
        <v>0.85733882030178321</v>
      </c>
      <c r="E12" s="3">
        <f t="shared" si="0"/>
        <v>0.79383224102016958</v>
      </c>
      <c r="F12" s="3">
        <f t="shared" si="0"/>
        <v>0.73502985279645328</v>
      </c>
      <c r="G12" s="3">
        <f t="shared" si="0"/>
        <v>0.68058319703375303</v>
      </c>
      <c r="H12" s="3">
        <f t="shared" si="0"/>
        <v>0.63016962688310452</v>
      </c>
      <c r="I12" s="3">
        <f t="shared" si="0"/>
        <v>0.58349039526213387</v>
      </c>
      <c r="J12" s="3">
        <f t="shared" si="0"/>
        <v>0.54026888450197574</v>
      </c>
      <c r="K12" s="3">
        <f t="shared" si="0"/>
        <v>0.50024896713145905</v>
      </c>
      <c r="L12" s="3">
        <f t="shared" si="0"/>
        <v>0.46319348808468425</v>
      </c>
      <c r="M12" s="3">
        <f t="shared" si="0"/>
        <v>0.42888285933767062</v>
      </c>
      <c r="N12" s="3">
        <f t="shared" si="0"/>
        <v>0.39711375864599124</v>
      </c>
      <c r="O12" s="3">
        <f t="shared" si="0"/>
        <v>0.36769792467221413</v>
      </c>
      <c r="Q12" s="31"/>
      <c r="R12" s="31"/>
      <c r="S12" s="31"/>
      <c r="T12" s="28"/>
    </row>
    <row r="13" spans="1:20">
      <c r="A13" t="s">
        <v>19</v>
      </c>
      <c r="C13" s="20"/>
      <c r="D13" s="20"/>
      <c r="E13" s="20"/>
      <c r="F13" s="20"/>
      <c r="G13" s="20"/>
      <c r="H13" s="20"/>
      <c r="I13" s="20"/>
      <c r="Q13" s="31"/>
      <c r="R13" s="31"/>
      <c r="S13" s="31"/>
      <c r="T13" s="31"/>
    </row>
    <row r="14" spans="1:20">
      <c r="A14" t="s">
        <v>20</v>
      </c>
      <c r="C14">
        <f>0.78*C11</f>
        <v>824627121.24042928</v>
      </c>
      <c r="D14">
        <f t="shared" ref="D14:O14" si="1">0.78*D11</f>
        <v>570778070.84745228</v>
      </c>
      <c r="E14">
        <f t="shared" si="1"/>
        <v>116590575.22621517</v>
      </c>
      <c r="F14">
        <f t="shared" si="1"/>
        <v>57389998.322673112</v>
      </c>
      <c r="G14">
        <f t="shared" si="1"/>
        <v>31355362.410571687</v>
      </c>
      <c r="H14">
        <f t="shared" si="1"/>
        <v>10485921.328682138</v>
      </c>
      <c r="I14">
        <f t="shared" si="1"/>
        <v>2505128.3971376522</v>
      </c>
      <c r="J14">
        <f t="shared" si="1"/>
        <v>-3326121.8979056808</v>
      </c>
      <c r="K14">
        <f t="shared" si="1"/>
        <v>-8694635.79826474</v>
      </c>
      <c r="L14">
        <f t="shared" si="1"/>
        <v>-10097685.790358167</v>
      </c>
      <c r="M14">
        <f t="shared" si="1"/>
        <v>-9764658.0579422675</v>
      </c>
      <c r="N14">
        <f t="shared" si="1"/>
        <v>-8919622.4481496457</v>
      </c>
      <c r="O14">
        <f t="shared" si="1"/>
        <v>-8339050.0376282381</v>
      </c>
    </row>
    <row r="16" spans="1:20">
      <c r="A16" s="21" t="s">
        <v>21</v>
      </c>
      <c r="B16" s="21">
        <f>B$10*(1/(1+0.08)^B$19)</f>
        <v>-400000000</v>
      </c>
      <c r="C16" s="39">
        <f>C10+C11+C13</f>
        <v>1057214258.0005504</v>
      </c>
      <c r="D16" s="21">
        <f>D11+D13</f>
        <v>731766757.49673367</v>
      </c>
      <c r="E16" s="39">
        <f t="shared" ref="E16" si="2">E10+E11+E13</f>
        <v>149475096.4438656</v>
      </c>
      <c r="F16" s="21">
        <f t="shared" ref="F16" si="3">F11+F13</f>
        <v>73576920.926503986</v>
      </c>
      <c r="G16" s="39">
        <f t="shared" ref="G16" si="4">G10+G11+G13</f>
        <v>40199182.577656008</v>
      </c>
      <c r="H16" s="21">
        <f t="shared" ref="H16" si="5">H11+H13</f>
        <v>13443488.882925816</v>
      </c>
      <c r="I16" s="39">
        <f t="shared" ref="I16" si="6">I10+I11+I13</f>
        <v>3211703.0732534002</v>
      </c>
      <c r="J16" s="21">
        <f t="shared" ref="J16" si="7">J11+J13</f>
        <v>-4264258.8434688216</v>
      </c>
      <c r="K16" s="39">
        <f t="shared" ref="K16" si="8">K10+K11+K13</f>
        <v>-11146968.972134283</v>
      </c>
      <c r="L16" s="21">
        <f t="shared" ref="L16" si="9">L11+L13</f>
        <v>-12945751.013279701</v>
      </c>
      <c r="M16" s="39">
        <f t="shared" ref="M16" si="10">M10+M11+M13</f>
        <v>-12518792.381977266</v>
      </c>
      <c r="N16" s="21">
        <f t="shared" ref="N16" si="11">N11+N13</f>
        <v>-11435413.395063648</v>
      </c>
      <c r="O16" s="39">
        <f t="shared" ref="O16" si="12">O10+O11+O13</f>
        <v>-10691089.791831074</v>
      </c>
    </row>
    <row r="18" spans="1:20">
      <c r="A18" t="s">
        <v>22</v>
      </c>
      <c r="B18">
        <v>0.08</v>
      </c>
      <c r="C18">
        <v>0.08</v>
      </c>
      <c r="D18">
        <v>0.08</v>
      </c>
      <c r="E18">
        <v>0.08</v>
      </c>
      <c r="F18">
        <v>0.08</v>
      </c>
      <c r="G18">
        <v>0.08</v>
      </c>
      <c r="H18">
        <v>0.08</v>
      </c>
      <c r="I18">
        <v>0.08</v>
      </c>
      <c r="J18">
        <v>0.08</v>
      </c>
      <c r="K18">
        <v>0.08</v>
      </c>
      <c r="L18">
        <v>0.08</v>
      </c>
      <c r="M18">
        <v>0.08</v>
      </c>
      <c r="N18">
        <v>0.08</v>
      </c>
      <c r="O18">
        <v>0.08</v>
      </c>
    </row>
    <row r="19" spans="1:20">
      <c r="A19" s="40" t="s">
        <v>23</v>
      </c>
      <c r="B19" s="40">
        <v>0</v>
      </c>
      <c r="C19" s="40">
        <v>1</v>
      </c>
      <c r="D19" s="40">
        <v>2</v>
      </c>
      <c r="E19" s="40">
        <v>3</v>
      </c>
      <c r="F19" s="40">
        <v>4</v>
      </c>
      <c r="G19" s="40">
        <v>5</v>
      </c>
      <c r="H19" s="40">
        <v>6</v>
      </c>
      <c r="I19" s="40">
        <v>7</v>
      </c>
      <c r="J19" s="40">
        <v>8</v>
      </c>
      <c r="K19" s="40">
        <v>9</v>
      </c>
      <c r="L19" s="40">
        <v>10</v>
      </c>
      <c r="M19" s="40">
        <v>11</v>
      </c>
      <c r="N19" s="40">
        <v>12</v>
      </c>
      <c r="O19" s="40">
        <v>13</v>
      </c>
      <c r="P19" s="40"/>
      <c r="Q19" s="40"/>
      <c r="R19" s="40"/>
      <c r="S19" s="40"/>
      <c r="T19" s="40"/>
    </row>
    <row r="20" spans="1:20">
      <c r="A20" t="s">
        <v>24</v>
      </c>
      <c r="B20">
        <f>B$10*(1/(1+0.08)^B$19)</f>
        <v>-400000000</v>
      </c>
      <c r="C20" s="3">
        <f t="shared" ref="C20:N20" si="13">C$16*(1/(1+0.08)^C$19)</f>
        <v>978902090.74125028</v>
      </c>
      <c r="D20" s="3">
        <f>D$16*(1/(1+0.08)^D$19)</f>
        <v>627372048.6083107</v>
      </c>
      <c r="E20" s="3">
        <f t="shared" si="13"/>
        <v>118658150.78673981</v>
      </c>
      <c r="F20" s="3">
        <f t="shared" si="13"/>
        <v>54081233.357824504</v>
      </c>
      <c r="G20" s="3">
        <f t="shared" si="13"/>
        <v>27358888.196844671</v>
      </c>
      <c r="H20" s="3">
        <f t="shared" si="13"/>
        <v>8471678.3733605258</v>
      </c>
      <c r="I20" s="3">
        <f t="shared" si="13"/>
        <v>1873997.8956772366</v>
      </c>
      <c r="J20" s="3">
        <f t="shared" si="13"/>
        <v>-2303846.3685885854</v>
      </c>
      <c r="K20" s="3">
        <f t="shared" si="13"/>
        <v>-5576259.7149565965</v>
      </c>
      <c r="L20" s="3">
        <f t="shared" si="13"/>
        <v>-5996387.5677168602</v>
      </c>
      <c r="M20" s="3">
        <f t="shared" si="13"/>
        <v>-5369095.472237058</v>
      </c>
      <c r="N20" s="3">
        <f t="shared" si="13"/>
        <v>-4541159.9949844405</v>
      </c>
      <c r="O20" s="3">
        <f>O$16*(1/(1+0.08)^O$19)</f>
        <v>-3931091.5289405799</v>
      </c>
    </row>
    <row r="22" spans="1:20" ht="15" thickBot="1">
      <c r="A22" t="s">
        <v>25</v>
      </c>
      <c r="B22" s="41">
        <f>B20+C20+D20+E20+F20+G20+H20+I20+J20+K20+L20+M20+N20+O20</f>
        <v>1389000247.3125837</v>
      </c>
    </row>
    <row r="23" spans="1:20" ht="15" thickTop="1"/>
    <row r="26" spans="1:20">
      <c r="A26" t="s">
        <v>40</v>
      </c>
      <c r="B26" t="s">
        <v>38</v>
      </c>
      <c r="C26" t="s">
        <v>39</v>
      </c>
      <c r="E26" s="3" t="s">
        <v>53</v>
      </c>
      <c r="F26" t="s">
        <v>55</v>
      </c>
      <c r="G26" t="s">
        <v>56</v>
      </c>
      <c r="H26" t="s">
        <v>57</v>
      </c>
      <c r="I26" t="s">
        <v>62</v>
      </c>
      <c r="J26" t="s">
        <v>63</v>
      </c>
      <c r="K26" t="s">
        <v>58</v>
      </c>
    </row>
    <row r="27" spans="1:20">
      <c r="A27" s="1">
        <v>40918</v>
      </c>
      <c r="E27" s="3">
        <v>8996.7199999999993</v>
      </c>
      <c r="F27">
        <f t="shared" ref="F27:F43" si="14">E27*$F$3</f>
        <v>56587.664551330396</v>
      </c>
      <c r="G27">
        <f>F27*110</f>
        <v>6224643.1006463431</v>
      </c>
      <c r="H27">
        <f>G27*$S$9</f>
        <v>34235537.053554885</v>
      </c>
      <c r="I27">
        <f>B$20</f>
        <v>-400000000</v>
      </c>
      <c r="J27">
        <f>I27</f>
        <v>-400000000</v>
      </c>
      <c r="K27" t="s">
        <v>59</v>
      </c>
    </row>
    <row r="28" spans="1:20" ht="32">
      <c r="A28" s="1">
        <v>41061</v>
      </c>
      <c r="B28" s="36">
        <f>WOPT!O4+WOPT!O26</f>
        <v>58092</v>
      </c>
      <c r="C28" s="36">
        <f>WOPT!P4+WOPT!P26+WOPT!H47</f>
        <v>190007.37900000007</v>
      </c>
      <c r="E28" s="37">
        <f>'NPV calculation'!C28-'NPV calculation'!B28</f>
        <v>131915.37900000007</v>
      </c>
      <c r="F28">
        <f t="shared" si="14"/>
        <v>829722.74517975654</v>
      </c>
      <c r="G28">
        <f t="shared" ref="G28:G43" si="15">F28*110</f>
        <v>91269501.969773218</v>
      </c>
      <c r="H28">
        <f t="shared" ref="H28:H43" si="16">G28*$S$9</f>
        <v>501982260.83375269</v>
      </c>
      <c r="I28" s="3">
        <f>C20</f>
        <v>978902090.74125028</v>
      </c>
      <c r="J28" s="3">
        <f>J27+I28</f>
        <v>578902090.74125028</v>
      </c>
      <c r="K28" s="38" t="s">
        <v>60</v>
      </c>
    </row>
    <row r="29" spans="1:20">
      <c r="A29" s="1">
        <v>41062</v>
      </c>
      <c r="B29" s="36">
        <f>WOPT!O5+WOPT!O27</f>
        <v>399</v>
      </c>
      <c r="C29" s="36">
        <f>WOPT!P5+WOPT!P27+WOPT!H48</f>
        <v>1267.3000000000175</v>
      </c>
      <c r="E29" s="37">
        <f>'NPV calculation'!C29-'NPV calculation'!B29</f>
        <v>868.30000000001746</v>
      </c>
      <c r="F29">
        <f t="shared" si="14"/>
        <v>5461.4425179311102</v>
      </c>
      <c r="G29">
        <f t="shared" si="15"/>
        <v>600758.67697242217</v>
      </c>
      <c r="H29">
        <f t="shared" si="16"/>
        <v>3304172.7233483219</v>
      </c>
      <c r="I29" s="3">
        <f>D$20</f>
        <v>627372048.6083107</v>
      </c>
      <c r="J29" s="3">
        <f t="shared" ref="J29:J40" si="17">J28+I29</f>
        <v>1206274139.349561</v>
      </c>
    </row>
    <row r="30" spans="1:20">
      <c r="A30" s="1">
        <v>41275</v>
      </c>
      <c r="B30" s="36">
        <f>WOPT!O6+WOPT!O28</f>
        <v>83020</v>
      </c>
      <c r="C30" s="36">
        <f>WOPT!P6+WOPT!P28+WOPT!H49</f>
        <v>219063.8</v>
      </c>
      <c r="E30" s="37">
        <f>'NPV calculation'!C30-'NPV calculation'!B30</f>
        <v>136043.79999999999</v>
      </c>
      <c r="F30">
        <f t="shared" si="14"/>
        <v>855689.73122296599</v>
      </c>
      <c r="G30">
        <f t="shared" si="15"/>
        <v>94125870.434526265</v>
      </c>
      <c r="H30">
        <f t="shared" si="16"/>
        <v>517692287.38989449</v>
      </c>
      <c r="I30" s="3">
        <f>E$20</f>
        <v>118658150.78673981</v>
      </c>
      <c r="J30" s="3">
        <f t="shared" si="17"/>
        <v>1324932290.1363008</v>
      </c>
    </row>
    <row r="31" spans="1:20">
      <c r="A31" s="1">
        <v>41426</v>
      </c>
      <c r="B31" s="36">
        <f>WOPT!O7+WOPT!O29</f>
        <v>56284</v>
      </c>
      <c r="C31" s="36">
        <f>WOPT!P7+WOPT!P29+WOPT!H50</f>
        <v>112540.39999999991</v>
      </c>
      <c r="E31" s="37">
        <f>'NPV calculation'!C31-'NPV calculation'!B31</f>
        <v>56256.399999999907</v>
      </c>
      <c r="F31">
        <f t="shared" si="14"/>
        <v>353842.09935014741</v>
      </c>
      <c r="G31">
        <f t="shared" si="15"/>
        <v>38922630.928516217</v>
      </c>
      <c r="H31">
        <f t="shared" si="16"/>
        <v>214074470.10683918</v>
      </c>
      <c r="I31" s="3">
        <f>F$20</f>
        <v>54081233.357824504</v>
      </c>
      <c r="J31" s="3">
        <f t="shared" si="17"/>
        <v>1379013523.4941254</v>
      </c>
    </row>
    <row r="32" spans="1:20">
      <c r="A32" s="1">
        <v>41640</v>
      </c>
      <c r="B32" s="36">
        <f>WOPT!O8+WOPT!O30</f>
        <v>75861</v>
      </c>
      <c r="C32" s="36">
        <f>WOPT!P8+WOPT!P30+WOPT!H51</f>
        <v>132000.10000000009</v>
      </c>
      <c r="E32" s="37">
        <f>'NPV calculation'!C32-'NPV calculation'!B32</f>
        <v>56139.100000000093</v>
      </c>
      <c r="F32">
        <f t="shared" si="14"/>
        <v>353104.30457028758</v>
      </c>
      <c r="G32">
        <f t="shared" si="15"/>
        <v>38841473.502731636</v>
      </c>
      <c r="H32">
        <f t="shared" si="16"/>
        <v>213628104.26502401</v>
      </c>
      <c r="I32" s="3">
        <f>G$20</f>
        <v>27358888.196844671</v>
      </c>
      <c r="J32" s="3">
        <f t="shared" si="17"/>
        <v>1406372411.6909699</v>
      </c>
    </row>
    <row r="33" spans="1:14">
      <c r="A33" s="1">
        <v>42005</v>
      </c>
      <c r="B33" s="36">
        <f>WOPT!O9+WOPT!O31</f>
        <v>119867</v>
      </c>
      <c r="C33" s="36">
        <f>WOPT!P9+WOPT!P31+WOPT!H52</f>
        <v>159147.39999999991</v>
      </c>
      <c r="E33" s="37">
        <f>'NPV calculation'!C33-'NPV calculation'!B33</f>
        <v>39280.399999999907</v>
      </c>
      <c r="F33">
        <f t="shared" si="14"/>
        <v>247066.27511382743</v>
      </c>
      <c r="G33">
        <f t="shared" si="15"/>
        <v>27177290.262521017</v>
      </c>
      <c r="H33">
        <f t="shared" si="16"/>
        <v>149475096.4438656</v>
      </c>
      <c r="I33" s="3">
        <f>H$20</f>
        <v>8471678.3733605258</v>
      </c>
      <c r="J33" s="3">
        <f t="shared" si="17"/>
        <v>1414844090.0643306</v>
      </c>
    </row>
    <row r="34" spans="1:14">
      <c r="A34" s="1">
        <v>42370</v>
      </c>
      <c r="B34" s="36">
        <f>WOPT!O10+WOPT!O32</f>
        <v>109911</v>
      </c>
      <c r="C34" s="36">
        <f>WOPT!P10+WOPT!P32+WOPT!H53</f>
        <v>129246.20000000007</v>
      </c>
      <c r="E34" s="37">
        <f>'NPV calculation'!C34-'NPV calculation'!B34</f>
        <v>19335.20000000007</v>
      </c>
      <c r="F34">
        <f t="shared" si="14"/>
        <v>121614.74533306445</v>
      </c>
      <c r="G34">
        <f t="shared" si="15"/>
        <v>13377621.986637089</v>
      </c>
      <c r="H34">
        <f t="shared" si="16"/>
        <v>73576920.926503986</v>
      </c>
      <c r="I34" s="3">
        <f>I$20</f>
        <v>1873997.8956772366</v>
      </c>
      <c r="J34" s="3">
        <f t="shared" si="17"/>
        <v>1416718087.9600079</v>
      </c>
    </row>
    <row r="35" spans="1:14">
      <c r="A35" s="1">
        <v>42736</v>
      </c>
      <c r="B35" s="36">
        <f>WOPT!O11+WOPT!O33</f>
        <v>103766</v>
      </c>
      <c r="C35" s="36">
        <f>WOPT!P11+WOPT!P33+WOPT!H54</f>
        <v>114329.90000000002</v>
      </c>
      <c r="E35" s="37">
        <f>'NPV calculation'!C35-'NPV calculation'!B35</f>
        <v>10563.900000000023</v>
      </c>
      <c r="F35">
        <f t="shared" si="14"/>
        <v>66444.929880423151</v>
      </c>
      <c r="G35">
        <f t="shared" si="15"/>
        <v>7308942.2868465465</v>
      </c>
      <c r="H35">
        <f t="shared" si="16"/>
        <v>40199182.577656008</v>
      </c>
      <c r="I35" s="3">
        <f>J$20</f>
        <v>-2303846.3685885854</v>
      </c>
      <c r="J35" s="3">
        <f t="shared" si="17"/>
        <v>1414414241.5914192</v>
      </c>
    </row>
    <row r="36" spans="1:14">
      <c r="A36" s="1">
        <v>43101</v>
      </c>
      <c r="B36" s="36">
        <f>WOPT!O12+WOPT!O34</f>
        <v>98577</v>
      </c>
      <c r="C36" s="36">
        <f>WOPT!P12+WOPT!P34+WOPT!H55</f>
        <v>102109.79999999993</v>
      </c>
      <c r="E36" s="37">
        <f>'NPV calculation'!C36-'NPV calculation'!B36</f>
        <v>3532.7999999999302</v>
      </c>
      <c r="F36">
        <f t="shared" si="14"/>
        <v>22220.642781695562</v>
      </c>
      <c r="G36">
        <f t="shared" si="15"/>
        <v>2444270.7059865119</v>
      </c>
      <c r="H36">
        <f t="shared" si="16"/>
        <v>13443488.882925816</v>
      </c>
      <c r="I36" s="3">
        <f>K$20</f>
        <v>-5576259.7149565965</v>
      </c>
      <c r="J36" s="3">
        <f t="shared" si="17"/>
        <v>1408837981.8764627</v>
      </c>
    </row>
    <row r="37" spans="1:14">
      <c r="A37" s="1">
        <v>43466</v>
      </c>
      <c r="B37" s="36">
        <f>WOPT!O13+WOPT!O35</f>
        <v>93044</v>
      </c>
      <c r="C37" s="36">
        <f>WOPT!P13+WOPT!P35+WOPT!H56</f>
        <v>93888</v>
      </c>
      <c r="E37" s="37">
        <f>'NPV calculation'!C37-'NPV calculation'!B37</f>
        <v>844</v>
      </c>
      <c r="F37">
        <f t="shared" si="14"/>
        <v>5308.6001210800005</v>
      </c>
      <c r="G37">
        <f t="shared" si="15"/>
        <v>583946.01331880002</v>
      </c>
      <c r="H37">
        <f t="shared" si="16"/>
        <v>3211703.0732534002</v>
      </c>
      <c r="I37" s="3">
        <f>L$20</f>
        <v>-5996387.5677168602</v>
      </c>
      <c r="J37" s="3">
        <f t="shared" si="17"/>
        <v>1402841594.3087459</v>
      </c>
    </row>
    <row r="38" spans="1:14">
      <c r="A38" s="1">
        <v>43831</v>
      </c>
      <c r="B38" s="36">
        <f>WOPT!O14+WOPT!O36</f>
        <v>87859</v>
      </c>
      <c r="C38" s="36">
        <f>WOPT!P14+WOPT!P36+WOPT!H57</f>
        <v>86738.400000000023</v>
      </c>
      <c r="E38" s="37">
        <f>'NPV calculation'!C38-'NPV calculation'!B38</f>
        <v>-1120.5999999999767</v>
      </c>
      <c r="F38">
        <f t="shared" si="14"/>
        <v>-7048.3617247418542</v>
      </c>
      <c r="G38">
        <f t="shared" si="15"/>
        <v>-775319.78972160397</v>
      </c>
      <c r="H38">
        <f t="shared" si="16"/>
        <v>-4264258.8434688216</v>
      </c>
      <c r="I38" s="3">
        <f>M$20</f>
        <v>-5369095.472237058</v>
      </c>
      <c r="J38" s="3">
        <f t="shared" si="17"/>
        <v>1397472498.8365088</v>
      </c>
    </row>
    <row r="39" spans="1:14">
      <c r="A39" s="1">
        <v>44197</v>
      </c>
      <c r="B39" s="36">
        <f>WOPT!O15+WOPT!O37</f>
        <v>83715</v>
      </c>
      <c r="C39" s="36">
        <f>WOPT!P15+WOPT!P37+WOPT!H58</f>
        <v>80785.699999999953</v>
      </c>
      <c r="E39" s="37">
        <f>'NPV calculation'!C39-'NPV calculation'!B39</f>
        <v>-2929.3000000000466</v>
      </c>
      <c r="F39">
        <f t="shared" si="14"/>
        <v>-18424.742102701293</v>
      </c>
      <c r="G39">
        <f t="shared" si="15"/>
        <v>-2026721.6312971422</v>
      </c>
      <c r="H39">
        <f t="shared" si="16"/>
        <v>-11146968.972134283</v>
      </c>
      <c r="I39" s="3">
        <f>N$20</f>
        <v>-4541159.9949844405</v>
      </c>
      <c r="J39" s="3">
        <f t="shared" si="17"/>
        <v>1392931338.8415244</v>
      </c>
    </row>
    <row r="40" spans="1:14">
      <c r="A40" s="1">
        <v>44562</v>
      </c>
      <c r="B40" s="36">
        <f>WOPT!O16+WOPT!O38</f>
        <v>79537</v>
      </c>
      <c r="C40" s="36">
        <f>WOPT!P16+WOPT!P38+WOPT!H59</f>
        <v>76135</v>
      </c>
      <c r="E40" s="37">
        <f>'NPV calculation'!C40-'NPV calculation'!B40</f>
        <v>-3402</v>
      </c>
      <c r="F40">
        <f t="shared" si="14"/>
        <v>-21397.935559140002</v>
      </c>
      <c r="G40">
        <f t="shared" si="15"/>
        <v>-2353772.9115054002</v>
      </c>
      <c r="H40">
        <f t="shared" si="16"/>
        <v>-12945751.013279701</v>
      </c>
      <c r="I40" s="3">
        <f>O$20</f>
        <v>-3931091.5289405799</v>
      </c>
      <c r="J40" s="3">
        <f t="shared" si="17"/>
        <v>1389000247.3125837</v>
      </c>
    </row>
    <row r="41" spans="1:14">
      <c r="A41" s="1">
        <v>44927</v>
      </c>
      <c r="B41" s="36">
        <f>WOPT!O17+WOPT!O39</f>
        <v>75952</v>
      </c>
      <c r="C41" s="36">
        <f>WOPT!P17+WOPT!P39+WOPT!H60</f>
        <v>72662.20000000007</v>
      </c>
      <c r="E41" s="37">
        <f>'NPV calculation'!C41-'NPV calculation'!B41</f>
        <v>-3289.7999999999302</v>
      </c>
      <c r="F41">
        <f t="shared" si="14"/>
        <v>-20692.218813185562</v>
      </c>
      <c r="G41">
        <f t="shared" si="15"/>
        <v>-2276144.0694504119</v>
      </c>
      <c r="H41">
        <f t="shared" si="16"/>
        <v>-12518792.381977266</v>
      </c>
      <c r="I41" s="3"/>
      <c r="J41" s="3"/>
    </row>
    <row r="42" spans="1:14">
      <c r="A42" s="1">
        <v>45292</v>
      </c>
      <c r="B42" s="36">
        <f>WOPT!O18+WOPT!O40</f>
        <v>72642</v>
      </c>
      <c r="C42" s="36">
        <f>WOPT!P18+WOPT!P40+WOPT!H61</f>
        <v>69636.900000000023</v>
      </c>
      <c r="E42" s="37">
        <f>'NPV calculation'!C42-'NPV calculation'!B42</f>
        <v>-3005.0999999999767</v>
      </c>
      <c r="F42">
        <f t="shared" si="14"/>
        <v>-18901.509743906856</v>
      </c>
      <c r="G42">
        <f t="shared" si="15"/>
        <v>-2079166.0718297542</v>
      </c>
      <c r="H42">
        <f t="shared" si="16"/>
        <v>-11435413.395063648</v>
      </c>
    </row>
    <row r="43" spans="1:14">
      <c r="A43" s="1">
        <v>45658</v>
      </c>
      <c r="B43" s="36">
        <f>WOPT!O19+WOPT!O41</f>
        <v>69887</v>
      </c>
      <c r="C43" s="36">
        <f>WOPT!P19+WOPT!P41+WOPT!H62</f>
        <v>67077.5</v>
      </c>
      <c r="E43" s="37">
        <f>'NPV calculation'!C43-'NPV calculation'!B43</f>
        <v>-2809.5</v>
      </c>
      <c r="F43">
        <f t="shared" si="14"/>
        <v>-17671.222796415001</v>
      </c>
      <c r="G43">
        <f t="shared" si="15"/>
        <v>-1943834.50760565</v>
      </c>
      <c r="H43">
        <f t="shared" si="16"/>
        <v>-10691089.791831074</v>
      </c>
      <c r="I43" s="3"/>
    </row>
    <row r="44" spans="1:14">
      <c r="E44" s="3">
        <f>SUM(E27:E43)</f>
        <v>447219.69900000008</v>
      </c>
      <c r="H44">
        <f>SUM(H27:H43)</f>
        <v>1701820949.8788631</v>
      </c>
    </row>
    <row r="46" spans="1:14">
      <c r="A46">
        <f>-400000000/10^6</f>
        <v>-400</v>
      </c>
      <c r="B46">
        <f>C14/10^6</f>
        <v>824.62712124042923</v>
      </c>
      <c r="C46">
        <f t="shared" ref="C46:O46" si="18">D14/10^6</f>
        <v>570.77807084745223</v>
      </c>
      <c r="D46">
        <f t="shared" si="18"/>
        <v>116.59057522621517</v>
      </c>
      <c r="E46">
        <f t="shared" si="18"/>
        <v>57.389998322673115</v>
      </c>
      <c r="F46">
        <f t="shared" si="18"/>
        <v>31.355362410571686</v>
      </c>
      <c r="G46">
        <f t="shared" si="18"/>
        <v>10.485921328682137</v>
      </c>
      <c r="H46">
        <f t="shared" si="18"/>
        <v>2.5051283971376521</v>
      </c>
      <c r="I46">
        <f t="shared" si="18"/>
        <v>-3.326121897905681</v>
      </c>
      <c r="J46">
        <f t="shared" si="18"/>
        <v>-8.6946357982647395</v>
      </c>
      <c r="K46">
        <f t="shared" si="18"/>
        <v>-10.097685790358167</v>
      </c>
      <c r="L46">
        <f t="shared" si="18"/>
        <v>-9.7646580579422668</v>
      </c>
      <c r="M46">
        <f t="shared" si="18"/>
        <v>-8.9196224481496458</v>
      </c>
      <c r="N46">
        <f t="shared" si="18"/>
        <v>-8.3390500376282386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Wopt new graphs</vt:lpstr>
      <vt:lpstr>WOPT</vt:lpstr>
      <vt:lpstr>WWPT</vt:lpstr>
      <vt:lpstr>Bottom hole pressure </vt:lpstr>
      <vt:lpstr>NPV calculation</vt:lpstr>
      <vt:lpstr>cash flow</vt:lpstr>
      <vt:lpstr>Cumulative NPV</vt:lpstr>
      <vt:lpstr>Sensitivity analyzes - 10 %</vt:lpstr>
      <vt:lpstr>Sensitivity + 10 %</vt:lpstr>
      <vt:lpstr>Sensitivity 5 % decrease Prod</vt:lpstr>
      <vt:lpstr>Sensitivity 5 % increase prod</vt:lpstr>
    </vt:vector>
  </TitlesOfParts>
  <Company>Fakultet for Ingeniørvitenskap og Teknologi, 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Sindre Eiane Aarsland</dc:creator>
  <cp:lastModifiedBy>Sindre Eiane Aarsland</cp:lastModifiedBy>
  <dcterms:created xsi:type="dcterms:W3CDTF">2012-03-21T14:17:20Z</dcterms:created>
  <dcterms:modified xsi:type="dcterms:W3CDTF">2012-05-01T15:10:39Z</dcterms:modified>
</cp:coreProperties>
</file>