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\ntnu\PVT-Courses-NTNU\TPG4150-2018\In-Class-Problems\"/>
    </mc:Choice>
  </mc:AlternateContent>
  <bookViews>
    <workbookView xWindow="0" yWindow="0" windowWidth="23040" windowHeight="9384"/>
  </bookViews>
  <sheets>
    <sheet name="IPR-MB-Eqs" sheetId="1" r:id="rId1"/>
    <sheet name="F-IPR" sheetId="2" r:id="rId2"/>
    <sheet name="F-MB" sheetId="5" r:id="rId3"/>
    <sheet name="F-MBd" sheetId="4" r:id="rId4"/>
    <sheet name="Pot-Aq-Gas-MB-ex" sheetId="3" r:id="rId5"/>
  </sheets>
  <definedNames>
    <definedName name="solver_adj" localSheetId="0" hidden="1">'IPR-MB-Eqs'!$B$16:$B$17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'IPR-MB-Eqs'!$B$16:$B$17</definedName>
    <definedName name="solver_lhs2" localSheetId="0" hidden="1">'IPR-MB-Eqs'!$B$16:$B$17</definedName>
    <definedName name="solver_lhs3" localSheetId="0" hidden="1">'IPR-MB-Eqs'!$N$68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'IPR-MB-Eqs'!$K$25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2</definedName>
    <definedName name="solver_rhs1" localSheetId="0" hidden="1">-0.1</definedName>
    <definedName name="solver_rhs2" localSheetId="0" hidden="1">-10</definedName>
    <definedName name="solver_rhs3" localSheetId="0" hidden="1">0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4" i="3"/>
  <c r="B7" i="3"/>
  <c r="B11" i="1"/>
  <c r="B12" i="1" s="1"/>
  <c r="B21" i="1" l="1"/>
  <c r="E18" i="1" l="1"/>
  <c r="E17" i="1"/>
  <c r="E16" i="1"/>
  <c r="H29" i="1" l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28" i="1"/>
  <c r="J28" i="1" s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28" i="1"/>
  <c r="M28" i="1"/>
  <c r="D32" i="3"/>
  <c r="D31" i="3"/>
  <c r="E31" i="3" s="1"/>
  <c r="E30" i="3"/>
  <c r="D30" i="3"/>
  <c r="D29" i="3"/>
  <c r="D28" i="3"/>
  <c r="E28" i="3" s="1"/>
  <c r="D27" i="3"/>
  <c r="E26" i="3"/>
  <c r="D26" i="3"/>
  <c r="D25" i="3"/>
  <c r="D24" i="3"/>
  <c r="E24" i="3" s="1"/>
  <c r="D23" i="3"/>
  <c r="E22" i="3"/>
  <c r="D22" i="3"/>
  <c r="D21" i="3"/>
  <c r="D20" i="3"/>
  <c r="E20" i="3" s="1"/>
  <c r="D19" i="3"/>
  <c r="E18" i="3"/>
  <c r="D18" i="3"/>
  <c r="D17" i="3"/>
  <c r="D16" i="3"/>
  <c r="E16" i="3" s="1"/>
  <c r="D15" i="3"/>
  <c r="E14" i="3"/>
  <c r="D14" i="3"/>
  <c r="D13" i="3"/>
  <c r="D12" i="3"/>
  <c r="E27" i="3" s="1"/>
  <c r="F29" i="3" l="1"/>
  <c r="F25" i="3"/>
  <c r="F21" i="3"/>
  <c r="F17" i="3"/>
  <c r="F13" i="3"/>
  <c r="F32" i="3"/>
  <c r="F28" i="3"/>
  <c r="F24" i="3"/>
  <c r="F20" i="3"/>
  <c r="F16" i="3"/>
  <c r="F12" i="3"/>
  <c r="F31" i="3"/>
  <c r="F27" i="3"/>
  <c r="F23" i="3"/>
  <c r="F19" i="3"/>
  <c r="F15" i="3"/>
  <c r="F30" i="3"/>
  <c r="F26" i="3"/>
  <c r="F22" i="3"/>
  <c r="F18" i="3"/>
  <c r="F14" i="3"/>
  <c r="K48" i="1"/>
  <c r="K36" i="1"/>
  <c r="K32" i="1"/>
  <c r="K44" i="1"/>
  <c r="K47" i="1"/>
  <c r="K43" i="1"/>
  <c r="K39" i="1"/>
  <c r="K35" i="1"/>
  <c r="K31" i="1"/>
  <c r="K40" i="1"/>
  <c r="K42" i="1"/>
  <c r="K38" i="1"/>
  <c r="K34" i="1"/>
  <c r="K45" i="1"/>
  <c r="K41" i="1"/>
  <c r="K37" i="1"/>
  <c r="K33" i="1"/>
  <c r="K29" i="1"/>
  <c r="K46" i="1"/>
  <c r="K30" i="1"/>
  <c r="K28" i="1"/>
  <c r="E13" i="3"/>
  <c r="E17" i="3"/>
  <c r="E21" i="3"/>
  <c r="E25" i="3"/>
  <c r="E29" i="3"/>
  <c r="E12" i="3"/>
  <c r="E32" i="3"/>
  <c r="E15" i="3"/>
  <c r="E19" i="3"/>
  <c r="E23" i="3"/>
  <c r="K25" i="1" l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28" i="1"/>
  <c r="N29" i="1"/>
  <c r="P29" i="1" s="1"/>
  <c r="N30" i="1"/>
  <c r="P30" i="1" s="1"/>
  <c r="N31" i="1"/>
  <c r="P31" i="1" s="1"/>
  <c r="N32" i="1"/>
  <c r="P32" i="1" s="1"/>
  <c r="N33" i="1"/>
  <c r="P33" i="1" s="1"/>
  <c r="N34" i="1"/>
  <c r="P34" i="1" s="1"/>
  <c r="N35" i="1"/>
  <c r="P35" i="1" s="1"/>
  <c r="N36" i="1"/>
  <c r="P36" i="1" s="1"/>
  <c r="N37" i="1"/>
  <c r="P37" i="1" s="1"/>
  <c r="N38" i="1"/>
  <c r="P38" i="1" s="1"/>
  <c r="N39" i="1"/>
  <c r="P39" i="1" s="1"/>
  <c r="N40" i="1"/>
  <c r="P40" i="1" s="1"/>
  <c r="N41" i="1"/>
  <c r="P41" i="1" s="1"/>
  <c r="N42" i="1"/>
  <c r="P42" i="1" s="1"/>
  <c r="N43" i="1"/>
  <c r="P43" i="1" s="1"/>
  <c r="N44" i="1"/>
  <c r="P44" i="1" s="1"/>
  <c r="N45" i="1"/>
  <c r="P45" i="1" s="1"/>
  <c r="N46" i="1"/>
  <c r="P46" i="1" s="1"/>
  <c r="N47" i="1"/>
  <c r="P47" i="1" s="1"/>
  <c r="N48" i="1"/>
  <c r="P48" i="1" s="1"/>
  <c r="N49" i="1"/>
  <c r="P49" i="1" s="1"/>
  <c r="N50" i="1"/>
  <c r="P50" i="1" s="1"/>
  <c r="N51" i="1"/>
  <c r="P51" i="1" s="1"/>
  <c r="N52" i="1"/>
  <c r="P52" i="1" s="1"/>
  <c r="N53" i="1"/>
  <c r="P53" i="1" s="1"/>
  <c r="N54" i="1"/>
  <c r="P54" i="1" s="1"/>
  <c r="N55" i="1"/>
  <c r="P55" i="1" s="1"/>
  <c r="N56" i="1"/>
  <c r="P56" i="1" s="1"/>
  <c r="N57" i="1"/>
  <c r="P57" i="1" s="1"/>
  <c r="N58" i="1"/>
  <c r="P58" i="1" s="1"/>
  <c r="N59" i="1"/>
  <c r="P59" i="1" s="1"/>
  <c r="N60" i="1"/>
  <c r="P60" i="1" s="1"/>
  <c r="N61" i="1"/>
  <c r="P61" i="1" s="1"/>
  <c r="N62" i="1"/>
  <c r="P62" i="1" s="1"/>
  <c r="N63" i="1"/>
  <c r="P63" i="1" s="1"/>
  <c r="N64" i="1"/>
  <c r="P64" i="1" s="1"/>
  <c r="N65" i="1"/>
  <c r="P65" i="1" s="1"/>
  <c r="N66" i="1"/>
  <c r="P66" i="1" s="1"/>
  <c r="N67" i="1"/>
  <c r="P67" i="1" s="1"/>
  <c r="N68" i="1"/>
  <c r="P68" i="1" s="1"/>
  <c r="N28" i="1"/>
  <c r="P28" i="1" s="1"/>
  <c r="B28" i="1"/>
  <c r="B29" i="1" s="1"/>
  <c r="C28" i="1" l="1"/>
  <c r="B30" i="1" l="1"/>
  <c r="C29" i="1"/>
  <c r="D29" i="1" s="1"/>
  <c r="B31" i="1" l="1"/>
  <c r="C30" i="1"/>
  <c r="D30" i="1" s="1"/>
  <c r="B32" i="1" l="1"/>
  <c r="C31" i="1"/>
  <c r="D31" i="1" s="1"/>
  <c r="B33" i="1" l="1"/>
  <c r="C32" i="1"/>
  <c r="D32" i="1" s="1"/>
  <c r="B34" i="1" l="1"/>
  <c r="C33" i="1"/>
  <c r="D33" i="1" s="1"/>
  <c r="B35" i="1" l="1"/>
  <c r="C34" i="1"/>
  <c r="D34" i="1" s="1"/>
  <c r="B36" i="1" l="1"/>
  <c r="C35" i="1"/>
  <c r="D35" i="1" s="1"/>
  <c r="B37" i="1" l="1"/>
  <c r="C36" i="1"/>
  <c r="D36" i="1" s="1"/>
  <c r="B38" i="1" l="1"/>
  <c r="C37" i="1"/>
  <c r="D37" i="1" s="1"/>
  <c r="B39" i="1" l="1"/>
  <c r="C38" i="1"/>
  <c r="D38" i="1" s="1"/>
  <c r="B40" i="1" l="1"/>
  <c r="C39" i="1"/>
  <c r="D39" i="1" s="1"/>
  <c r="B41" i="1" l="1"/>
  <c r="C40" i="1"/>
  <c r="D40" i="1" s="1"/>
  <c r="B42" i="1" l="1"/>
  <c r="C41" i="1"/>
  <c r="D41" i="1" s="1"/>
  <c r="B43" i="1" l="1"/>
  <c r="C42" i="1"/>
  <c r="D42" i="1" s="1"/>
  <c r="B44" i="1" l="1"/>
  <c r="C43" i="1"/>
  <c r="D43" i="1" s="1"/>
  <c r="B45" i="1" l="1"/>
  <c r="C44" i="1"/>
  <c r="D44" i="1" s="1"/>
  <c r="B46" i="1" l="1"/>
  <c r="C45" i="1"/>
  <c r="D45" i="1" s="1"/>
  <c r="B47" i="1" l="1"/>
  <c r="C46" i="1"/>
  <c r="D46" i="1" s="1"/>
  <c r="B48" i="1" l="1"/>
  <c r="C47" i="1"/>
  <c r="D47" i="1" s="1"/>
  <c r="B49" i="1" l="1"/>
  <c r="C48" i="1"/>
  <c r="D48" i="1" s="1"/>
  <c r="B50" i="1" l="1"/>
  <c r="C49" i="1"/>
  <c r="D49" i="1" s="1"/>
  <c r="B51" i="1" l="1"/>
  <c r="C50" i="1"/>
  <c r="D50" i="1" s="1"/>
  <c r="B52" i="1" l="1"/>
  <c r="C51" i="1"/>
  <c r="D51" i="1" s="1"/>
  <c r="B53" i="1" l="1"/>
  <c r="C52" i="1"/>
  <c r="D52" i="1" s="1"/>
  <c r="B54" i="1" l="1"/>
  <c r="C53" i="1"/>
  <c r="D53" i="1" s="1"/>
  <c r="B55" i="1" l="1"/>
  <c r="C54" i="1"/>
  <c r="D54" i="1" s="1"/>
  <c r="B56" i="1" l="1"/>
  <c r="C55" i="1"/>
  <c r="D55" i="1" s="1"/>
  <c r="B57" i="1" l="1"/>
  <c r="C56" i="1"/>
  <c r="D56" i="1" s="1"/>
  <c r="B58" i="1" l="1"/>
  <c r="C57" i="1"/>
  <c r="D57" i="1" s="1"/>
  <c r="B59" i="1" l="1"/>
  <c r="C58" i="1"/>
  <c r="D58" i="1" s="1"/>
  <c r="B60" i="1" l="1"/>
  <c r="C59" i="1"/>
  <c r="D59" i="1" s="1"/>
  <c r="B61" i="1" l="1"/>
  <c r="C60" i="1"/>
  <c r="D60" i="1" s="1"/>
  <c r="D61" i="1"/>
  <c r="B62" i="1" l="1"/>
  <c r="D62" i="1"/>
  <c r="C61" i="1"/>
  <c r="B63" i="1" l="1"/>
  <c r="D63" i="1"/>
  <c r="C62" i="1"/>
  <c r="B64" i="1" l="1"/>
  <c r="C64" i="1" s="1"/>
  <c r="D64" i="1"/>
  <c r="C63" i="1"/>
</calcChain>
</file>

<file path=xl/comments1.xml><?xml version="1.0" encoding="utf-8"?>
<comments xmlns="http://schemas.openxmlformats.org/spreadsheetml/2006/main">
  <authors>
    <author>Curtis Hays Whitson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>Linked only to the Qpu input, where Qpu represents the ultimate cumulative surface product volume produced from pRi to PR=0:
"Theoretical EUR (Estimated Ultimate Reserve)"</t>
        </r>
      </text>
    </comment>
    <comment ref="A9" authorId="0" shapeId="0">
      <text>
        <r>
          <rPr>
            <sz val="9"/>
            <color indexed="81"/>
            <rFont val="Tahoma"/>
            <family val="2"/>
          </rPr>
          <t>Composite "J" includes:
(1) Rock and flow geometry
kh/[ln(re/rw)+s]
(2) Fluid phase Mobility λpx</t>
        </r>
      </text>
    </comment>
    <comment ref="A12" authorId="0" shapeId="0">
      <text>
        <r>
          <rPr>
            <sz val="9"/>
            <color indexed="81"/>
            <rFont val="Tahoma"/>
            <family val="2"/>
          </rPr>
          <t xml:space="preserve">Initial (pR=pRi) Theoretical AOFP with pwf=0 </t>
        </r>
      </text>
    </comment>
    <comment ref="A15" authorId="0" shapeId="0">
      <text>
        <r>
          <rPr>
            <sz val="9"/>
            <color indexed="81"/>
            <rFont val="Tahoma"/>
            <family val="2"/>
          </rPr>
          <t>Qpu represents the ultimate cumulative surface product volume produced from pRi to PR=0:
"Theoretical EUR (Estimated Ultimate Reserve)"</t>
        </r>
      </text>
    </comment>
    <comment ref="C16" authorId="0" shapeId="0">
      <text>
        <r>
          <rPr>
            <sz val="9"/>
            <color indexed="81"/>
            <rFont val="Tahoma"/>
            <family val="2"/>
          </rPr>
          <t>Default:
Straight-Line MB</t>
        </r>
      </text>
    </comment>
    <comment ref="C17" authorId="0" shapeId="0">
      <text>
        <r>
          <rPr>
            <sz val="9"/>
            <color indexed="81"/>
            <rFont val="Tahoma"/>
            <family val="2"/>
          </rPr>
          <t>Default:
Straight-Line MB</t>
        </r>
      </text>
    </comment>
    <comment ref="A21" authorId="0" shapeId="0">
      <text>
        <r>
          <rPr>
            <sz val="9"/>
            <color indexed="81"/>
            <rFont val="Tahoma"/>
            <family val="2"/>
          </rPr>
          <t xml:space="preserve">Current (pR) Theoretical AOFP with pwf=0 </t>
        </r>
      </text>
    </comment>
  </commentList>
</comments>
</file>

<file path=xl/comments2.xml><?xml version="1.0" encoding="utf-8"?>
<comments xmlns="http://schemas.openxmlformats.org/spreadsheetml/2006/main">
  <authors>
    <author>Curtis Hays Whitson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Curtis Hays Whitson:</t>
        </r>
        <r>
          <rPr>
            <sz val="9"/>
            <color indexed="81"/>
            <rFont val="Tahoma"/>
            <family val="2"/>
          </rPr>
          <t xml:space="preserve">
Fixed in this Excel file.
Wrong in video!</t>
        </r>
      </text>
    </comment>
  </commentList>
</comments>
</file>

<file path=xl/sharedStrings.xml><?xml version="1.0" encoding="utf-8"?>
<sst xmlns="http://schemas.openxmlformats.org/spreadsheetml/2006/main" count="90" uniqueCount="64">
  <si>
    <t>pRi</t>
  </si>
  <si>
    <t>bara</t>
  </si>
  <si>
    <t>Sm3/d/bar</t>
  </si>
  <si>
    <t>Material Balance</t>
  </si>
  <si>
    <t>PSS Rate Equation</t>
  </si>
  <si>
    <t>J (pwf&gt;px)</t>
  </si>
  <si>
    <t>J' (pwf&lt;px)</t>
  </si>
  <si>
    <t>pR (&lt;=pRi)</t>
  </si>
  <si>
    <t>Sm3/d</t>
  </si>
  <si>
    <t>Sm3/d/bar^2</t>
  </si>
  <si>
    <t>pwf</t>
  </si>
  <si>
    <t>q</t>
  </si>
  <si>
    <t>m0 (-10 to -0.1)</t>
  </si>
  <si>
    <t>m1 (-10 to -0.1)</t>
  </si>
  <si>
    <t>Qpu</t>
  </si>
  <si>
    <t>Sm3</t>
  </si>
  <si>
    <t>Qd</t>
  </si>
  <si>
    <t>pd</t>
  </si>
  <si>
    <t>a0</t>
  </si>
  <si>
    <t>a1</t>
  </si>
  <si>
    <t>a2</t>
  </si>
  <si>
    <t>a3</t>
  </si>
  <si>
    <t>General MB Eq.</t>
  </si>
  <si>
    <t>General Rate Eq.</t>
  </si>
  <si>
    <t>Qp</t>
  </si>
  <si>
    <t>pR</t>
  </si>
  <si>
    <t>Actual MB Data</t>
  </si>
  <si>
    <t>Swc</t>
  </si>
  <si>
    <t>1/bar</t>
  </si>
  <si>
    <t>M</t>
  </si>
  <si>
    <t>ce</t>
  </si>
  <si>
    <t>Pot Aq</t>
  </si>
  <si>
    <t>RF</t>
  </si>
  <si>
    <t>p</t>
  </si>
  <si>
    <t>Z</t>
  </si>
  <si>
    <t>p/Z</t>
  </si>
  <si>
    <t>%</t>
  </si>
  <si>
    <t>MB Eq.</t>
  </si>
  <si>
    <t>Data</t>
  </si>
  <si>
    <t xml:space="preserve">   = 1</t>
  </si>
  <si>
    <t xml:space="preserve">   = m0</t>
  </si>
  <si>
    <t xml:space="preserve">   = -3 - 2m0 - m1</t>
  </si>
  <si>
    <t xml:space="preserve">   = m1 + m0 + 2</t>
  </si>
  <si>
    <t>HCPV =</t>
  </si>
  <si>
    <t>Constant</t>
  </si>
  <si>
    <t>TPG4150 - Reservoir Recovery Methods</t>
  </si>
  <si>
    <t>Curtis Hays Whitson</t>
  </si>
  <si>
    <t>2018-09</t>
  </si>
  <si>
    <r>
      <t>px (</t>
    </r>
    <r>
      <rPr>
        <b/>
        <sz val="11"/>
        <color theme="1"/>
        <rFont val="Calibri"/>
        <family val="2"/>
        <scheme val="minor"/>
      </rPr>
      <t>&lt;=pRi</t>
    </r>
    <r>
      <rPr>
        <sz val="11"/>
        <color theme="1"/>
        <rFont val="Calibri"/>
        <family val="2"/>
        <scheme val="minor"/>
      </rPr>
      <t>)</t>
    </r>
  </si>
  <si>
    <t>Current Conditions</t>
  </si>
  <si>
    <t>qmax (AOFP)</t>
  </si>
  <si>
    <t>RMS</t>
  </si>
  <si>
    <t>For Plotting Only</t>
  </si>
  <si>
    <t>Fitting MB Eq</t>
  </si>
  <si>
    <t>Convert to (Qd,pd)</t>
  </si>
  <si>
    <t>Best-Fit Polynomial Coefficients</t>
  </si>
  <si>
    <t>POT AQUIFER GAS MATERIAL BALANCE -- Example only</t>
  </si>
  <si>
    <t>cf</t>
  </si>
  <si>
    <t>cw</t>
  </si>
  <si>
    <t>residual</t>
  </si>
  <si>
    <t>Instant</t>
  </si>
  <si>
    <t>PI=q/dp</t>
  </si>
  <si>
    <t>Approximate Generalized IPR (PSS Rate) and Material Balance Equations</t>
  </si>
  <si>
    <t>Gp/G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</si>
</sst>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0.0000"/>
  </numFmts>
  <fonts count="1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70C0"/>
      <name val="Arial"/>
      <family val="2"/>
    </font>
    <font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2" fontId="1" fillId="0" borderId="0" xfId="0" applyNumberFormat="1" applyFont="1"/>
    <xf numFmtId="1" fontId="1" fillId="0" borderId="0" xfId="0" applyNumberFormat="1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  <xf numFmtId="1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11" fontId="0" fillId="0" borderId="0" xfId="0" applyNumberFormat="1"/>
    <xf numFmtId="11" fontId="1" fillId="0" borderId="0" xfId="0" applyNumberFormat="1" applyFont="1"/>
    <xf numFmtId="0" fontId="4" fillId="0" borderId="0" xfId="1"/>
    <xf numFmtId="2" fontId="5" fillId="0" borderId="0" xfId="1" applyNumberFormat="1" applyFont="1"/>
    <xf numFmtId="0" fontId="4" fillId="0" borderId="0" xfId="1" quotePrefix="1"/>
    <xf numFmtId="11" fontId="5" fillId="0" borderId="0" xfId="1" applyNumberFormat="1" applyFont="1"/>
    <xf numFmtId="0" fontId="5" fillId="0" borderId="0" xfId="1" applyFont="1"/>
    <xf numFmtId="0" fontId="4" fillId="0" borderId="0" xfId="1" applyAlignment="1">
      <alignment horizontal="center"/>
    </xf>
    <xf numFmtId="166" fontId="4" fillId="0" borderId="0" xfId="1" applyNumberFormat="1"/>
    <xf numFmtId="165" fontId="4" fillId="0" borderId="0" xfId="1" applyNumberFormat="1"/>
    <xf numFmtId="164" fontId="4" fillId="0" borderId="0" xfId="1" applyNumberFormat="1"/>
    <xf numFmtId="0" fontId="2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2" fontId="9" fillId="2" borderId="2" xfId="0" applyNumberFormat="1" applyFont="1" applyFill="1" applyBorder="1"/>
    <xf numFmtId="2" fontId="9" fillId="2" borderId="3" xfId="0" applyNumberFormat="1" applyFont="1" applyFill="1" applyBorder="1"/>
    <xf numFmtId="0" fontId="10" fillId="0" borderId="0" xfId="0" applyFont="1"/>
    <xf numFmtId="11" fontId="11" fillId="0" borderId="0" xfId="1" applyNumberFormat="1" applyFont="1"/>
    <xf numFmtId="11" fontId="8" fillId="0" borderId="0" xfId="0" applyNumberFormat="1" applyFont="1"/>
    <xf numFmtId="1" fontId="8" fillId="0" borderId="0" xfId="0" applyNumberFormat="1" applyFont="1"/>
    <xf numFmtId="0" fontId="1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2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23892211420788"/>
          <c:y val="3.2276206922150406E-2"/>
          <c:w val="0.82287251483593882"/>
          <c:h val="0.82463490343653112"/>
        </c:manualLayout>
      </c:layout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'IPR-MB-Eqs'!$C$28:$C$64</c:f>
              <c:numCache>
                <c:formatCode>0</c:formatCode>
                <c:ptCount val="37"/>
                <c:pt idx="0">
                  <c:v>0</c:v>
                </c:pt>
                <c:pt idx="1">
                  <c:v>250</c:v>
                </c:pt>
                <c:pt idx="2">
                  <c:v>500</c:v>
                </c:pt>
                <c:pt idx="3">
                  <c:v>750</c:v>
                </c:pt>
                <c:pt idx="4">
                  <c:v>1000</c:v>
                </c:pt>
                <c:pt idx="5">
                  <c:v>1250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2242.1875</c:v>
                </c:pt>
                <c:pt idx="10">
                  <c:v>2468.75</c:v>
                </c:pt>
                <c:pt idx="11">
                  <c:v>2679.6875</c:v>
                </c:pt>
                <c:pt idx="12">
                  <c:v>2875</c:v>
                </c:pt>
                <c:pt idx="13">
                  <c:v>3054.6875</c:v>
                </c:pt>
                <c:pt idx="14">
                  <c:v>3218.75</c:v>
                </c:pt>
                <c:pt idx="15">
                  <c:v>3367.1875</c:v>
                </c:pt>
                <c:pt idx="16">
                  <c:v>3500</c:v>
                </c:pt>
                <c:pt idx="17">
                  <c:v>3617.1875</c:v>
                </c:pt>
                <c:pt idx="18">
                  <c:v>3718.75</c:v>
                </c:pt>
                <c:pt idx="19">
                  <c:v>3804.6875</c:v>
                </c:pt>
                <c:pt idx="20">
                  <c:v>3875</c:v>
                </c:pt>
                <c:pt idx="21">
                  <c:v>3929.6875</c:v>
                </c:pt>
                <c:pt idx="22">
                  <c:v>3968.75</c:v>
                </c:pt>
                <c:pt idx="23">
                  <c:v>3992.1875</c:v>
                </c:pt>
                <c:pt idx="24">
                  <c:v>4000</c:v>
                </c:pt>
                <c:pt idx="25">
                  <c:v>4000</c:v>
                </c:pt>
                <c:pt idx="26">
                  <c:v>4000</c:v>
                </c:pt>
                <c:pt idx="27">
                  <c:v>4000</c:v>
                </c:pt>
                <c:pt idx="28">
                  <c:v>4000</c:v>
                </c:pt>
                <c:pt idx="29">
                  <c:v>4000</c:v>
                </c:pt>
                <c:pt idx="30">
                  <c:v>4000</c:v>
                </c:pt>
                <c:pt idx="31">
                  <c:v>4000</c:v>
                </c:pt>
                <c:pt idx="32">
                  <c:v>4000</c:v>
                </c:pt>
                <c:pt idx="33">
                  <c:v>4000</c:v>
                </c:pt>
                <c:pt idx="34">
                  <c:v>4000</c:v>
                </c:pt>
                <c:pt idx="35">
                  <c:v>4000</c:v>
                </c:pt>
                <c:pt idx="36">
                  <c:v>4000</c:v>
                </c:pt>
              </c:numCache>
            </c:numRef>
          </c:xVal>
          <c:yVal>
            <c:numRef>
              <c:f>'IPR-MB-Eqs'!$B$28:$B$64</c:f>
              <c:numCache>
                <c:formatCode>0</c:formatCode>
                <c:ptCount val="37"/>
                <c:pt idx="0">
                  <c:v>600</c:v>
                </c:pt>
                <c:pt idx="1">
                  <c:v>575</c:v>
                </c:pt>
                <c:pt idx="2">
                  <c:v>550</c:v>
                </c:pt>
                <c:pt idx="3">
                  <c:v>525</c:v>
                </c:pt>
                <c:pt idx="4">
                  <c:v>500</c:v>
                </c:pt>
                <c:pt idx="5">
                  <c:v>475</c:v>
                </c:pt>
                <c:pt idx="6">
                  <c:v>450</c:v>
                </c:pt>
                <c:pt idx="7">
                  <c:v>425</c:v>
                </c:pt>
                <c:pt idx="8">
                  <c:v>400</c:v>
                </c:pt>
                <c:pt idx="9">
                  <c:v>375</c:v>
                </c:pt>
                <c:pt idx="10">
                  <c:v>350</c:v>
                </c:pt>
                <c:pt idx="11">
                  <c:v>325</c:v>
                </c:pt>
                <c:pt idx="12">
                  <c:v>300</c:v>
                </c:pt>
                <c:pt idx="13">
                  <c:v>275</c:v>
                </c:pt>
                <c:pt idx="14">
                  <c:v>250</c:v>
                </c:pt>
                <c:pt idx="15">
                  <c:v>225</c:v>
                </c:pt>
                <c:pt idx="16">
                  <c:v>200</c:v>
                </c:pt>
                <c:pt idx="17">
                  <c:v>175</c:v>
                </c:pt>
                <c:pt idx="18">
                  <c:v>150</c:v>
                </c:pt>
                <c:pt idx="19">
                  <c:v>125</c:v>
                </c:pt>
                <c:pt idx="20">
                  <c:v>100</c:v>
                </c:pt>
                <c:pt idx="21">
                  <c:v>75</c:v>
                </c:pt>
                <c:pt idx="22">
                  <c:v>50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182624"/>
        <c:axId val="423178704"/>
      </c:scatterChart>
      <c:valAx>
        <c:axId val="42318262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Surface Prouct Rate, Sm3/d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178704"/>
        <c:crosses val="autoZero"/>
        <c:crossBetween val="midCat"/>
      </c:valAx>
      <c:valAx>
        <c:axId val="423178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Bottomhole</a:t>
                </a:r>
                <a:r>
                  <a:rPr lang="en-US" baseline="0"/>
                  <a:t> Flowing Pressure, pwf, bara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182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'IPR-MB-Eqs'!$F$28:$F$48</c:f>
              <c:numCache>
                <c:formatCode>0.00E+00</c:formatCode>
                <c:ptCount val="21"/>
                <c:pt idx="0">
                  <c:v>0</c:v>
                </c:pt>
                <c:pt idx="1">
                  <c:v>1.4844193885544921</c:v>
                </c:pt>
                <c:pt idx="2">
                  <c:v>3.0642947378149876</c:v>
                </c:pt>
                <c:pt idx="3">
                  <c:v>4.7525410602374363</c:v>
                </c:pt>
                <c:pt idx="4">
                  <c:v>6.564822816384841</c:v>
                </c:pt>
                <c:pt idx="5">
                  <c:v>8.5203675003877049</c:v>
                </c:pt>
                <c:pt idx="6">
                  <c:v>10.643092507615236</c:v>
                </c:pt>
                <c:pt idx="7">
                  <c:v>12.963199773774969</c:v>
                </c:pt>
                <c:pt idx="8">
                  <c:v>15.519466003190473</c:v>
                </c:pt>
                <c:pt idx="9">
                  <c:v>18.362598173175016</c:v>
                </c:pt>
                <c:pt idx="10">
                  <c:v>21.560242626574166</c:v>
                </c:pt>
                <c:pt idx="11">
                  <c:v>25.204536734126403</c:v>
                </c:pt>
                <c:pt idx="12">
                  <c:v>28.087933716655243</c:v>
                </c:pt>
                <c:pt idx="13">
                  <c:v>34.396902785749241</c:v>
                </c:pt>
                <c:pt idx="14">
                  <c:v>40.375636399883675</c:v>
                </c:pt>
                <c:pt idx="15">
                  <c:v>49.776531070708444</c:v>
                </c:pt>
                <c:pt idx="16">
                  <c:v>56.637935209688706</c:v>
                </c:pt>
                <c:pt idx="17">
                  <c:v>67.233977807852256</c:v>
                </c:pt>
                <c:pt idx="18">
                  <c:v>78.737903095553676</c:v>
                </c:pt>
                <c:pt idx="19">
                  <c:v>89.938506082257078</c:v>
                </c:pt>
                <c:pt idx="20">
                  <c:v>99.81210568855272</c:v>
                </c:pt>
              </c:numCache>
            </c:numRef>
          </c:xVal>
          <c:yVal>
            <c:numRef>
              <c:f>'IPR-MB-Eqs'!$G$28:$G$48</c:f>
              <c:numCache>
                <c:formatCode>0</c:formatCode>
                <c:ptCount val="21"/>
                <c:pt idx="0">
                  <c:v>1000</c:v>
                </c:pt>
                <c:pt idx="1">
                  <c:v>950</c:v>
                </c:pt>
                <c:pt idx="2">
                  <c:v>900</c:v>
                </c:pt>
                <c:pt idx="3">
                  <c:v>850</c:v>
                </c:pt>
                <c:pt idx="4">
                  <c:v>800</c:v>
                </c:pt>
                <c:pt idx="5">
                  <c:v>750</c:v>
                </c:pt>
                <c:pt idx="6">
                  <c:v>700</c:v>
                </c:pt>
                <c:pt idx="7">
                  <c:v>650</c:v>
                </c:pt>
                <c:pt idx="8">
                  <c:v>600</c:v>
                </c:pt>
                <c:pt idx="9">
                  <c:v>550</c:v>
                </c:pt>
                <c:pt idx="10">
                  <c:v>500</c:v>
                </c:pt>
                <c:pt idx="11">
                  <c:v>450</c:v>
                </c:pt>
                <c:pt idx="12">
                  <c:v>415</c:v>
                </c:pt>
                <c:pt idx="13">
                  <c:v>350</c:v>
                </c:pt>
                <c:pt idx="14">
                  <c:v>300</c:v>
                </c:pt>
                <c:pt idx="15">
                  <c:v>237.4</c:v>
                </c:pt>
                <c:pt idx="16">
                  <c:v>200</c:v>
                </c:pt>
                <c:pt idx="17">
                  <c:v>150</c:v>
                </c:pt>
                <c:pt idx="18">
                  <c:v>100</c:v>
                </c:pt>
                <c:pt idx="19">
                  <c:v>50</c:v>
                </c:pt>
                <c:pt idx="2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v>Best-Fit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'IPR-MB-Eqs'!$O$28:$O$68</c:f>
              <c:numCache>
                <c:formatCode>0.00E+00</c:formatCode>
                <c:ptCount val="41"/>
                <c:pt idx="0">
                  <c:v>0</c:v>
                </c:pt>
                <c:pt idx="1">
                  <c:v>2.5</c:v>
                </c:pt>
                <c:pt idx="2">
                  <c:v>5</c:v>
                </c:pt>
                <c:pt idx="3">
                  <c:v>7.5</c:v>
                </c:pt>
                <c:pt idx="4">
                  <c:v>10</c:v>
                </c:pt>
                <c:pt idx="5">
                  <c:v>12.5</c:v>
                </c:pt>
                <c:pt idx="6">
                  <c:v>15</c:v>
                </c:pt>
                <c:pt idx="7">
                  <c:v>17.5</c:v>
                </c:pt>
                <c:pt idx="8">
                  <c:v>20</c:v>
                </c:pt>
                <c:pt idx="9">
                  <c:v>22.5</c:v>
                </c:pt>
                <c:pt idx="10">
                  <c:v>25</c:v>
                </c:pt>
                <c:pt idx="11">
                  <c:v>27.500000000000004</c:v>
                </c:pt>
                <c:pt idx="12">
                  <c:v>30</c:v>
                </c:pt>
                <c:pt idx="13">
                  <c:v>32.5</c:v>
                </c:pt>
                <c:pt idx="14">
                  <c:v>35</c:v>
                </c:pt>
                <c:pt idx="15">
                  <c:v>37.5</c:v>
                </c:pt>
                <c:pt idx="16">
                  <c:v>40</c:v>
                </c:pt>
                <c:pt idx="17">
                  <c:v>42.5</c:v>
                </c:pt>
                <c:pt idx="18">
                  <c:v>45</c:v>
                </c:pt>
                <c:pt idx="19">
                  <c:v>47.5</c:v>
                </c:pt>
                <c:pt idx="20">
                  <c:v>50</c:v>
                </c:pt>
                <c:pt idx="21">
                  <c:v>52.5</c:v>
                </c:pt>
                <c:pt idx="22">
                  <c:v>55.000000000000007</c:v>
                </c:pt>
                <c:pt idx="23">
                  <c:v>57.499999999999993</c:v>
                </c:pt>
                <c:pt idx="24">
                  <c:v>60</c:v>
                </c:pt>
                <c:pt idx="25">
                  <c:v>62.5</c:v>
                </c:pt>
                <c:pt idx="26">
                  <c:v>65</c:v>
                </c:pt>
                <c:pt idx="27">
                  <c:v>67.5</c:v>
                </c:pt>
                <c:pt idx="28">
                  <c:v>70</c:v>
                </c:pt>
                <c:pt idx="29">
                  <c:v>72.5</c:v>
                </c:pt>
                <c:pt idx="30">
                  <c:v>75</c:v>
                </c:pt>
                <c:pt idx="31">
                  <c:v>77.5</c:v>
                </c:pt>
                <c:pt idx="32">
                  <c:v>80</c:v>
                </c:pt>
                <c:pt idx="33">
                  <c:v>82.5</c:v>
                </c:pt>
                <c:pt idx="34">
                  <c:v>85</c:v>
                </c:pt>
                <c:pt idx="35">
                  <c:v>87.5</c:v>
                </c:pt>
                <c:pt idx="36">
                  <c:v>90</c:v>
                </c:pt>
                <c:pt idx="37">
                  <c:v>92.5</c:v>
                </c:pt>
                <c:pt idx="38">
                  <c:v>95</c:v>
                </c:pt>
                <c:pt idx="39">
                  <c:v>97.5</c:v>
                </c:pt>
                <c:pt idx="40">
                  <c:v>100</c:v>
                </c:pt>
              </c:numCache>
            </c:numRef>
          </c:xVal>
          <c:yVal>
            <c:numRef>
              <c:f>'IPR-MB-Eqs'!$P$28:$P$68</c:f>
              <c:numCache>
                <c:formatCode>0</c:formatCode>
                <c:ptCount val="41"/>
                <c:pt idx="0" formatCode="General">
                  <c:v>1000</c:v>
                </c:pt>
                <c:pt idx="1">
                  <c:v>925.2129868920573</c:v>
                </c:pt>
                <c:pt idx="2">
                  <c:v>855.30106597069209</c:v>
                </c:pt>
                <c:pt idx="3">
                  <c:v>790.08092839165181</c:v>
                </c:pt>
                <c:pt idx="4">
                  <c:v>729.36926531068411</c:v>
                </c:pt>
                <c:pt idx="5">
                  <c:v>672.98276788353689</c:v>
                </c:pt>
                <c:pt idx="6">
                  <c:v>620.73812726595804</c:v>
                </c:pt>
                <c:pt idx="7">
                  <c:v>572.45203461369476</c:v>
                </c:pt>
                <c:pt idx="8">
                  <c:v>527.94118108249518</c:v>
                </c:pt>
                <c:pt idx="9">
                  <c:v>487.02225782810689</c:v>
                </c:pt>
                <c:pt idx="10">
                  <c:v>449.51195600627756</c:v>
                </c:pt>
                <c:pt idx="11">
                  <c:v>415.22696677275502</c:v>
                </c:pt>
                <c:pt idx="12">
                  <c:v>383.98398128328694</c:v>
                </c:pt>
                <c:pt idx="13">
                  <c:v>355.59969069362091</c:v>
                </c:pt>
                <c:pt idx="14">
                  <c:v>329.8907861595049</c:v>
                </c:pt>
                <c:pt idx="15">
                  <c:v>306.67395883668644</c:v>
                </c:pt>
                <c:pt idx="16">
                  <c:v>285.76589988091314</c:v>
                </c:pt>
                <c:pt idx="17">
                  <c:v>266.98330044793272</c:v>
                </c:pt>
                <c:pt idx="18">
                  <c:v>250.14285169349327</c:v>
                </c:pt>
                <c:pt idx="19">
                  <c:v>235.06124477334222</c:v>
                </c:pt>
                <c:pt idx="20">
                  <c:v>221.5551708432273</c:v>
                </c:pt>
                <c:pt idx="21">
                  <c:v>209.44132105889619</c:v>
                </c:pt>
                <c:pt idx="22">
                  <c:v>198.53638657609667</c:v>
                </c:pt>
                <c:pt idx="23">
                  <c:v>188.65705855057641</c:v>
                </c:pt>
                <c:pt idx="24">
                  <c:v>179.62002813808331</c:v>
                </c:pt>
                <c:pt idx="25">
                  <c:v>171.24198649436474</c:v>
                </c:pt>
                <c:pt idx="26">
                  <c:v>163.33962477516872</c:v>
                </c:pt>
                <c:pt idx="27">
                  <c:v>155.72963413624308</c:v>
                </c:pt>
                <c:pt idx="28">
                  <c:v>148.22870573333503</c:v>
                </c:pt>
                <c:pt idx="29">
                  <c:v>140.65353072219244</c:v>
                </c:pt>
                <c:pt idx="30">
                  <c:v>132.82080025856345</c:v>
                </c:pt>
                <c:pt idx="31">
                  <c:v>124.54720549819487</c:v>
                </c:pt>
                <c:pt idx="32">
                  <c:v>115.64943759683577</c:v>
                </c:pt>
                <c:pt idx="33">
                  <c:v>105.94418771023251</c:v>
                </c:pt>
                <c:pt idx="34">
                  <c:v>95.248146994133535</c:v>
                </c:pt>
                <c:pt idx="35">
                  <c:v>83.378006604286853</c:v>
                </c:pt>
                <c:pt idx="36">
                  <c:v>70.150457696439133</c:v>
                </c:pt>
                <c:pt idx="37">
                  <c:v>55.382191426339048</c:v>
                </c:pt>
                <c:pt idx="38">
                  <c:v>38.889898949733933</c:v>
                </c:pt>
                <c:pt idx="39">
                  <c:v>20.490271422371809</c:v>
                </c:pt>
                <c:pt idx="4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315464"/>
        <c:axId val="644498736"/>
      </c:scatterChart>
      <c:valAx>
        <c:axId val="64731546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Qp, Sm3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498736"/>
        <c:crosses val="autoZero"/>
        <c:crossBetween val="midCat"/>
      </c:valAx>
      <c:valAx>
        <c:axId val="644498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pR, bara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73154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54533909067831"/>
          <c:y val="5.9713550074371298E-2"/>
          <c:w val="0.15794732953102267"/>
          <c:h val="0.1004479128266928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'IPR-MB-Eqs'!$H$28:$H$48</c:f>
              <c:numCache>
                <c:formatCode>0.000</c:formatCode>
                <c:ptCount val="21"/>
                <c:pt idx="0">
                  <c:v>0</c:v>
                </c:pt>
                <c:pt idx="1">
                  <c:v>1.4844193885544921E-2</c:v>
                </c:pt>
                <c:pt idx="2">
                  <c:v>3.0642947378149876E-2</c:v>
                </c:pt>
                <c:pt idx="3">
                  <c:v>4.7525410602374363E-2</c:v>
                </c:pt>
                <c:pt idx="4">
                  <c:v>6.564822816384841E-2</c:v>
                </c:pt>
                <c:pt idx="5">
                  <c:v>8.5203675003877044E-2</c:v>
                </c:pt>
                <c:pt idx="6">
                  <c:v>0.10643092507615236</c:v>
                </c:pt>
                <c:pt idx="7">
                  <c:v>0.12963199773774969</c:v>
                </c:pt>
                <c:pt idx="8">
                  <c:v>0.15519466003190474</c:v>
                </c:pt>
                <c:pt idx="9">
                  <c:v>0.18362598173175015</c:v>
                </c:pt>
                <c:pt idx="10">
                  <c:v>0.21560242626574166</c:v>
                </c:pt>
                <c:pt idx="11">
                  <c:v>0.25204536734126404</c:v>
                </c:pt>
                <c:pt idx="12">
                  <c:v>0.28087933716655245</c:v>
                </c:pt>
                <c:pt idx="13">
                  <c:v>0.34396902785749239</c:v>
                </c:pt>
                <c:pt idx="14">
                  <c:v>0.40375636399883674</c:v>
                </c:pt>
                <c:pt idx="15">
                  <c:v>0.49776531070708446</c:v>
                </c:pt>
                <c:pt idx="16">
                  <c:v>0.56637935209688706</c:v>
                </c:pt>
                <c:pt idx="17">
                  <c:v>0.67233977807852252</c:v>
                </c:pt>
                <c:pt idx="18">
                  <c:v>0.78737903095553674</c:v>
                </c:pt>
                <c:pt idx="19">
                  <c:v>0.89938506082257075</c:v>
                </c:pt>
                <c:pt idx="20">
                  <c:v>0.99812105688552721</c:v>
                </c:pt>
              </c:numCache>
            </c:numRef>
          </c:xVal>
          <c:yVal>
            <c:numRef>
              <c:f>'IPR-MB-Eqs'!$I$28:$I$48</c:f>
              <c:numCache>
                <c:formatCode>0.000</c:formatCode>
                <c:ptCount val="21"/>
                <c:pt idx="0">
                  <c:v>1</c:v>
                </c:pt>
                <c:pt idx="1">
                  <c:v>0.95</c:v>
                </c:pt>
                <c:pt idx="2">
                  <c:v>0.9</c:v>
                </c:pt>
                <c:pt idx="3">
                  <c:v>0.85</c:v>
                </c:pt>
                <c:pt idx="4">
                  <c:v>0.8</c:v>
                </c:pt>
                <c:pt idx="5">
                  <c:v>0.75</c:v>
                </c:pt>
                <c:pt idx="6">
                  <c:v>0.7</c:v>
                </c:pt>
                <c:pt idx="7">
                  <c:v>0.65</c:v>
                </c:pt>
                <c:pt idx="8">
                  <c:v>0.6</c:v>
                </c:pt>
                <c:pt idx="9">
                  <c:v>0.55000000000000004</c:v>
                </c:pt>
                <c:pt idx="10">
                  <c:v>0.5</c:v>
                </c:pt>
                <c:pt idx="11">
                  <c:v>0.45</c:v>
                </c:pt>
                <c:pt idx="12">
                  <c:v>0.41499999999999998</c:v>
                </c:pt>
                <c:pt idx="13">
                  <c:v>0.35</c:v>
                </c:pt>
                <c:pt idx="14">
                  <c:v>0.3</c:v>
                </c:pt>
                <c:pt idx="15">
                  <c:v>0.2374</c:v>
                </c:pt>
                <c:pt idx="16">
                  <c:v>0.2</c:v>
                </c:pt>
                <c:pt idx="17">
                  <c:v>0.15</c:v>
                </c:pt>
                <c:pt idx="18">
                  <c:v>0.1</c:v>
                </c:pt>
                <c:pt idx="19">
                  <c:v>0.05</c:v>
                </c:pt>
                <c:pt idx="20">
                  <c:v>1E-3</c:v>
                </c:pt>
              </c:numCache>
            </c:numRef>
          </c:yVal>
          <c:smooth val="0"/>
        </c:ser>
        <c:ser>
          <c:idx val="1"/>
          <c:order val="1"/>
          <c:tx>
            <c:v>Best-Fit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'IPR-MB-Eqs'!$M$28:$M$68</c:f>
              <c:numCache>
                <c:formatCode>0.000</c:formatCode>
                <c:ptCount val="41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  <c:pt idx="40">
                  <c:v>1</c:v>
                </c:pt>
              </c:numCache>
            </c:numRef>
          </c:xVal>
          <c:yVal>
            <c:numRef>
              <c:f>'IPR-MB-Eqs'!$N$28:$N$68</c:f>
              <c:numCache>
                <c:formatCode>0.000</c:formatCode>
                <c:ptCount val="41"/>
                <c:pt idx="0">
                  <c:v>1</c:v>
                </c:pt>
                <c:pt idx="1">
                  <c:v>0.92521298689205733</c:v>
                </c:pt>
                <c:pt idx="2">
                  <c:v>0.85530106597069211</c:v>
                </c:pt>
                <c:pt idx="3">
                  <c:v>0.79008092839165178</c:v>
                </c:pt>
                <c:pt idx="4">
                  <c:v>0.72936926531068413</c:v>
                </c:pt>
                <c:pt idx="5">
                  <c:v>0.67298276788353695</c:v>
                </c:pt>
                <c:pt idx="6">
                  <c:v>0.62073812726595801</c:v>
                </c:pt>
                <c:pt idx="7">
                  <c:v>0.57245203461369476</c:v>
                </c:pt>
                <c:pt idx="8">
                  <c:v>0.52794118108249521</c:v>
                </c:pt>
                <c:pt idx="9">
                  <c:v>0.48702225782810687</c:v>
                </c:pt>
                <c:pt idx="10">
                  <c:v>0.44951195600627758</c:v>
                </c:pt>
                <c:pt idx="11">
                  <c:v>0.415226966772755</c:v>
                </c:pt>
                <c:pt idx="12">
                  <c:v>0.38398398128328692</c:v>
                </c:pt>
                <c:pt idx="13">
                  <c:v>0.35559969069362091</c:v>
                </c:pt>
                <c:pt idx="14">
                  <c:v>0.3298907861595049</c:v>
                </c:pt>
                <c:pt idx="15">
                  <c:v>0.30667395883668641</c:v>
                </c:pt>
                <c:pt idx="16">
                  <c:v>0.28576589988091317</c:v>
                </c:pt>
                <c:pt idx="17">
                  <c:v>0.26698330044793273</c:v>
                </c:pt>
                <c:pt idx="18">
                  <c:v>0.25014285169349326</c:v>
                </c:pt>
                <c:pt idx="19">
                  <c:v>0.23506124477334223</c:v>
                </c:pt>
                <c:pt idx="20">
                  <c:v>0.22155517084322729</c:v>
                </c:pt>
                <c:pt idx="21">
                  <c:v>0.20944132105889618</c:v>
                </c:pt>
                <c:pt idx="22">
                  <c:v>0.19853638657609668</c:v>
                </c:pt>
                <c:pt idx="23">
                  <c:v>0.18865705855057641</c:v>
                </c:pt>
                <c:pt idx="24">
                  <c:v>0.17962002813808331</c:v>
                </c:pt>
                <c:pt idx="25">
                  <c:v>0.17124198649436473</c:v>
                </c:pt>
                <c:pt idx="26">
                  <c:v>0.16333962477516872</c:v>
                </c:pt>
                <c:pt idx="27">
                  <c:v>0.15572963413624308</c:v>
                </c:pt>
                <c:pt idx="28">
                  <c:v>0.14822870573333502</c:v>
                </c:pt>
                <c:pt idx="29">
                  <c:v>0.14065353072219244</c:v>
                </c:pt>
                <c:pt idx="30">
                  <c:v>0.13282080025856347</c:v>
                </c:pt>
                <c:pt idx="31">
                  <c:v>0.12454720549819487</c:v>
                </c:pt>
                <c:pt idx="32">
                  <c:v>0.11564943759683577</c:v>
                </c:pt>
                <c:pt idx="33">
                  <c:v>0.10594418771023251</c:v>
                </c:pt>
                <c:pt idx="34">
                  <c:v>9.5248146994133531E-2</c:v>
                </c:pt>
                <c:pt idx="35">
                  <c:v>8.3378006604286847E-2</c:v>
                </c:pt>
                <c:pt idx="36">
                  <c:v>7.0150457696439128E-2</c:v>
                </c:pt>
                <c:pt idx="37">
                  <c:v>5.5382191426339045E-2</c:v>
                </c:pt>
                <c:pt idx="38">
                  <c:v>3.8889898949733936E-2</c:v>
                </c:pt>
                <c:pt idx="39">
                  <c:v>2.0490271422371809E-2</c:v>
                </c:pt>
                <c:pt idx="4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181056"/>
        <c:axId val="423183016"/>
      </c:scatterChart>
      <c:valAx>
        <c:axId val="423181056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Qd = Qp/Qpu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183016"/>
        <c:crosses val="autoZero"/>
        <c:crossBetween val="midCat"/>
      </c:valAx>
      <c:valAx>
        <c:axId val="4231830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pd = pR/pRi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181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454533909067831"/>
          <c:y val="5.9713550074371298E-2"/>
          <c:w val="0.15794732953102267"/>
          <c:h val="0.10044791282669287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8"/>
  <sheetViews>
    <sheetView tabSelected="1" zoomScale="130" zoomScaleNormal="130" workbookViewId="0"/>
  </sheetViews>
  <sheetFormatPr defaultRowHeight="14.4" x14ac:dyDescent="0.3"/>
  <cols>
    <col min="1" max="1" width="21.33203125" customWidth="1"/>
    <col min="3" max="3" width="9.88671875" bestFit="1" customWidth="1"/>
  </cols>
  <sheetData>
    <row r="1" spans="1:6" x14ac:dyDescent="0.3">
      <c r="A1" s="10" t="s">
        <v>62</v>
      </c>
    </row>
    <row r="2" spans="1:6" x14ac:dyDescent="0.3">
      <c r="A2" s="10" t="s">
        <v>45</v>
      </c>
    </row>
    <row r="3" spans="1:6" x14ac:dyDescent="0.3">
      <c r="A3" s="11" t="s">
        <v>46</v>
      </c>
    </row>
    <row r="4" spans="1:6" x14ac:dyDescent="0.3">
      <c r="A4" s="11" t="s">
        <v>47</v>
      </c>
    </row>
    <row r="6" spans="1:6" x14ac:dyDescent="0.3">
      <c r="A6" t="s">
        <v>0</v>
      </c>
      <c r="B6" s="1">
        <v>1000</v>
      </c>
      <c r="C6" t="s">
        <v>1</v>
      </c>
    </row>
    <row r="8" spans="1:6" x14ac:dyDescent="0.3">
      <c r="A8" s="8" t="s">
        <v>4</v>
      </c>
    </row>
    <row r="9" spans="1:6" x14ac:dyDescent="0.3">
      <c r="A9" t="s">
        <v>5</v>
      </c>
      <c r="B9" s="1">
        <v>10</v>
      </c>
      <c r="C9" t="s">
        <v>2</v>
      </c>
    </row>
    <row r="10" spans="1:6" x14ac:dyDescent="0.3">
      <c r="A10" t="s">
        <v>48</v>
      </c>
      <c r="B10" s="1">
        <v>400</v>
      </c>
      <c r="C10" t="s">
        <v>1</v>
      </c>
    </row>
    <row r="11" spans="1:6" x14ac:dyDescent="0.3">
      <c r="A11" t="s">
        <v>6</v>
      </c>
      <c r="B11">
        <f>$B$9/(2*$B$10)</f>
        <v>1.2500000000000001E-2</v>
      </c>
      <c r="C11" t="s">
        <v>9</v>
      </c>
    </row>
    <row r="12" spans="1:6" x14ac:dyDescent="0.3">
      <c r="A12" t="s">
        <v>50</v>
      </c>
      <c r="B12">
        <f>MAX(0,$B$9*($B$6-$B$10))+$B$11*(MIN($B$6,$B$10)^2)</f>
        <v>8000</v>
      </c>
      <c r="C12" t="s">
        <v>8</v>
      </c>
    </row>
    <row r="14" spans="1:6" x14ac:dyDescent="0.3">
      <c r="A14" s="8" t="s">
        <v>3</v>
      </c>
      <c r="D14" s="10" t="s">
        <v>55</v>
      </c>
    </row>
    <row r="15" spans="1:6" ht="15" thickBot="1" x14ac:dyDescent="0.35">
      <c r="A15" s="11" t="s">
        <v>14</v>
      </c>
      <c r="B15" s="13">
        <v>100</v>
      </c>
      <c r="C15" t="s">
        <v>15</v>
      </c>
      <c r="D15" s="9" t="s">
        <v>18</v>
      </c>
      <c r="E15" s="5">
        <v>1</v>
      </c>
      <c r="F15" t="s">
        <v>39</v>
      </c>
    </row>
    <row r="16" spans="1:6" x14ac:dyDescent="0.3">
      <c r="A16" t="s">
        <v>12</v>
      </c>
      <c r="B16" s="25">
        <v>-3.0914264859726148</v>
      </c>
      <c r="C16" s="31">
        <v>-1</v>
      </c>
      <c r="D16" s="9" t="s">
        <v>19</v>
      </c>
      <c r="E16" s="5">
        <f>B16</f>
        <v>-3.0914264859726148</v>
      </c>
      <c r="F16" t="s">
        <v>40</v>
      </c>
    </row>
    <row r="17" spans="1:16" ht="15" thickBot="1" x14ac:dyDescent="0.35">
      <c r="A17" t="s">
        <v>13</v>
      </c>
      <c r="B17" s="26">
        <v>-0.8638678527184338</v>
      </c>
      <c r="C17" s="31">
        <v>-1</v>
      </c>
      <c r="D17" s="9" t="s">
        <v>20</v>
      </c>
      <c r="E17" s="5">
        <f>-3-2*B16-B17</f>
        <v>4.0467208246636632</v>
      </c>
      <c r="F17" t="s">
        <v>41</v>
      </c>
    </row>
    <row r="18" spans="1:16" x14ac:dyDescent="0.3">
      <c r="B18" s="2"/>
      <c r="D18" s="9" t="s">
        <v>21</v>
      </c>
      <c r="E18" s="5">
        <f>B16+B17+2</f>
        <v>-1.9552943386910488</v>
      </c>
      <c r="F18" t="s">
        <v>42</v>
      </c>
    </row>
    <row r="19" spans="1:16" x14ac:dyDescent="0.3">
      <c r="A19" s="10" t="s">
        <v>49</v>
      </c>
      <c r="B19" s="2"/>
      <c r="D19" s="9"/>
      <c r="E19" s="5"/>
    </row>
    <row r="20" spans="1:16" x14ac:dyDescent="0.3">
      <c r="A20" t="s">
        <v>7</v>
      </c>
      <c r="B20" s="3">
        <v>600</v>
      </c>
    </row>
    <row r="21" spans="1:16" x14ac:dyDescent="0.3">
      <c r="A21" t="s">
        <v>50</v>
      </c>
      <c r="B21" s="7">
        <f>MAX(0,$B$9*($B$20-$B$10))+$B$11*(MIN($B$20,$B$10)^2)</f>
        <v>4000</v>
      </c>
      <c r="C21" t="s">
        <v>8</v>
      </c>
    </row>
    <row r="22" spans="1:16" x14ac:dyDescent="0.3">
      <c r="B22" s="7"/>
    </row>
    <row r="23" spans="1:16" x14ac:dyDescent="0.3">
      <c r="B23" s="27" t="s">
        <v>52</v>
      </c>
      <c r="F23" s="27" t="s">
        <v>53</v>
      </c>
      <c r="H23" s="27" t="s">
        <v>54</v>
      </c>
      <c r="M23" s="27" t="s">
        <v>52</v>
      </c>
      <c r="O23" s="27" t="s">
        <v>52</v>
      </c>
    </row>
    <row r="24" spans="1:16" ht="15" thickBot="1" x14ac:dyDescent="0.35">
      <c r="K24" s="9" t="s">
        <v>51</v>
      </c>
    </row>
    <row r="25" spans="1:16" ht="15" thickBot="1" x14ac:dyDescent="0.35">
      <c r="B25" s="10" t="s">
        <v>23</v>
      </c>
      <c r="F25" s="10" t="s">
        <v>26</v>
      </c>
      <c r="H25" s="23" t="s">
        <v>38</v>
      </c>
      <c r="I25" s="23" t="s">
        <v>38</v>
      </c>
      <c r="J25" s="23" t="s">
        <v>37</v>
      </c>
      <c r="K25" s="24">
        <f>SQRT(SUM(K28:K48))</f>
        <v>5.396065944743611E-2</v>
      </c>
      <c r="M25" s="10" t="s">
        <v>22</v>
      </c>
      <c r="O25" s="10" t="s">
        <v>22</v>
      </c>
    </row>
    <row r="26" spans="1:16" x14ac:dyDescent="0.3">
      <c r="B26" s="9" t="s">
        <v>10</v>
      </c>
      <c r="C26" s="9" t="s">
        <v>11</v>
      </c>
      <c r="D26" s="9" t="s">
        <v>60</v>
      </c>
      <c r="F26" s="9" t="s">
        <v>24</v>
      </c>
      <c r="G26" s="9" t="s">
        <v>25</v>
      </c>
      <c r="H26" s="9" t="s">
        <v>16</v>
      </c>
      <c r="I26" s="9" t="s">
        <v>17</v>
      </c>
      <c r="J26" s="9" t="s">
        <v>17</v>
      </c>
      <c r="K26" s="9" t="s">
        <v>59</v>
      </c>
      <c r="M26" s="9" t="s">
        <v>16</v>
      </c>
      <c r="N26" s="9" t="s">
        <v>17</v>
      </c>
      <c r="O26" s="9" t="s">
        <v>24</v>
      </c>
      <c r="P26" s="9" t="s">
        <v>25</v>
      </c>
    </row>
    <row r="27" spans="1:16" x14ac:dyDescent="0.3">
      <c r="B27" s="9" t="s">
        <v>1</v>
      </c>
      <c r="C27" s="9" t="s">
        <v>8</v>
      </c>
      <c r="D27" s="9" t="s">
        <v>61</v>
      </c>
      <c r="F27" s="9" t="s">
        <v>15</v>
      </c>
      <c r="G27" s="9" t="s">
        <v>1</v>
      </c>
      <c r="H27" s="9"/>
      <c r="O27" s="9" t="s">
        <v>15</v>
      </c>
      <c r="P27" s="9" t="s">
        <v>1</v>
      </c>
    </row>
    <row r="28" spans="1:16" x14ac:dyDescent="0.3">
      <c r="B28" s="7">
        <f>$B$20</f>
        <v>600</v>
      </c>
      <c r="C28" s="7">
        <f>MAX(0,$B$9*($B$20-MAX(B28,$B$10)))+MAX(0,$B$11*(MIN($B$20,$B$10)^2-B28^2))</f>
        <v>0</v>
      </c>
      <c r="F28" s="29">
        <v>0</v>
      </c>
      <c r="G28" s="30">
        <v>1000</v>
      </c>
      <c r="H28" s="4">
        <f>F28/$B$15</f>
        <v>0</v>
      </c>
      <c r="I28" s="4">
        <f t="shared" ref="I28:I48" si="0">G28/$B$6</f>
        <v>1</v>
      </c>
      <c r="J28" s="4">
        <f>$E$15+$E$16*H28+$E$17*H28^2+$E$18*H28^3</f>
        <v>1</v>
      </c>
      <c r="K28" s="4">
        <f>(J28-I28)^2</f>
        <v>0</v>
      </c>
      <c r="M28" s="4">
        <f>F28</f>
        <v>0</v>
      </c>
      <c r="N28" s="4">
        <f>$E$15+$E$16*M28+$E$17*M28^2+$E$18*M28^3</f>
        <v>1</v>
      </c>
      <c r="O28" s="12">
        <f>$B$15*M28</f>
        <v>0</v>
      </c>
      <c r="P28">
        <f>$B$6*N28</f>
        <v>1000</v>
      </c>
    </row>
    <row r="29" spans="1:16" x14ac:dyDescent="0.3">
      <c r="B29" s="7">
        <f t="shared" ref="B29:B64" si="1">MAX(0,B28-25)</f>
        <v>575</v>
      </c>
      <c r="C29" s="7">
        <f>MAX(0,$B$9*($B$20-MAX(B29,$B$10)))+MAX(0,$B$11*(MIN($B$20,$B$10)^2-B29^2))</f>
        <v>250</v>
      </c>
      <c r="D29" s="6">
        <f>IF(B28&gt;0,-(C29-C28)/(B29-B28),0)</f>
        <v>10</v>
      </c>
      <c r="F29" s="29">
        <v>1.4844193885544921</v>
      </c>
      <c r="G29" s="30">
        <v>950</v>
      </c>
      <c r="H29" s="4">
        <f t="shared" ref="H29:H48" si="2">F29/$B$15</f>
        <v>1.4844193885544921E-2</v>
      </c>
      <c r="I29" s="4">
        <f t="shared" si="0"/>
        <v>0.95</v>
      </c>
      <c r="J29" s="4">
        <f t="shared" ref="J29:J48" si="3">$E$15+$E$16*H29+$E$17*H29^2+$E$18*H29^3</f>
        <v>0.95499556555541731</v>
      </c>
      <c r="K29" s="4">
        <f t="shared" ref="K29:K48" si="4">(J29-I29)^2</f>
        <v>2.4955675218472339E-5</v>
      </c>
      <c r="M29" s="4">
        <v>2.5000000000000001E-2</v>
      </c>
      <c r="N29" s="4">
        <f t="shared" ref="N29:N68" si="5">$E$15+$E$16*M29+$E$17*M29^2+$E$18*M29^3</f>
        <v>0.92521298689205733</v>
      </c>
      <c r="O29" s="12">
        <f t="shared" ref="O29:O68" si="6">$B$15*M29</f>
        <v>2.5</v>
      </c>
      <c r="P29" s="7">
        <f t="shared" ref="P29:P68" si="7">$B$6*N29</f>
        <v>925.2129868920573</v>
      </c>
    </row>
    <row r="30" spans="1:16" x14ac:dyDescent="0.3">
      <c r="B30" s="7">
        <f t="shared" si="1"/>
        <v>550</v>
      </c>
      <c r="C30" s="7">
        <f>MAX(0,$B$9*($B$20-MAX(B30,$B$10)))+MAX(0,$B$11*(MIN($B$20,$B$10)^2-B30^2))</f>
        <v>500</v>
      </c>
      <c r="D30" s="6">
        <f t="shared" ref="D30:D64" si="8">IF(B29&gt;0,-(C30-C29)/(B30-B29),0)</f>
        <v>10</v>
      </c>
      <c r="F30" s="29">
        <v>3.0642947378149876</v>
      </c>
      <c r="G30" s="30">
        <v>900</v>
      </c>
      <c r="H30" s="4">
        <f t="shared" si="2"/>
        <v>3.0642947378149876E-2</v>
      </c>
      <c r="I30" s="4">
        <f t="shared" si="0"/>
        <v>0.9</v>
      </c>
      <c r="J30" s="4">
        <f t="shared" si="3"/>
        <v>0.90901315163970131</v>
      </c>
      <c r="K30" s="4">
        <f t="shared" si="4"/>
        <v>8.1236902480250029E-5</v>
      </c>
      <c r="M30" s="4">
        <v>0.05</v>
      </c>
      <c r="N30" s="4">
        <f t="shared" si="5"/>
        <v>0.85530106597069211</v>
      </c>
      <c r="O30" s="12">
        <f t="shared" si="6"/>
        <v>5</v>
      </c>
      <c r="P30" s="7">
        <f t="shared" si="7"/>
        <v>855.30106597069209</v>
      </c>
    </row>
    <row r="31" spans="1:16" x14ac:dyDescent="0.3">
      <c r="B31" s="7">
        <f t="shared" si="1"/>
        <v>525</v>
      </c>
      <c r="C31" s="7">
        <f>MAX(0,$B$9*($B$20-MAX(B31,$B$10)))+MAX(0,$B$11*(MIN($B$20,$B$10)^2-B31^2))</f>
        <v>750</v>
      </c>
      <c r="D31" s="6">
        <f t="shared" si="8"/>
        <v>10</v>
      </c>
      <c r="F31" s="29">
        <v>4.7525410602374363</v>
      </c>
      <c r="G31" s="30">
        <v>850</v>
      </c>
      <c r="H31" s="4">
        <f t="shared" si="2"/>
        <v>4.7525410602374363E-2</v>
      </c>
      <c r="I31" s="4">
        <f t="shared" si="0"/>
        <v>0.85</v>
      </c>
      <c r="J31" s="4">
        <f t="shared" si="3"/>
        <v>0.8620089831468748</v>
      </c>
      <c r="K31" s="4">
        <f t="shared" si="4"/>
        <v>1.4421567622192343E-4</v>
      </c>
      <c r="M31" s="4">
        <v>7.4999999999999997E-2</v>
      </c>
      <c r="N31" s="4">
        <f t="shared" si="5"/>
        <v>0.79008092839165178</v>
      </c>
      <c r="O31" s="12">
        <f t="shared" si="6"/>
        <v>7.5</v>
      </c>
      <c r="P31" s="7">
        <f t="shared" si="7"/>
        <v>790.08092839165181</v>
      </c>
    </row>
    <row r="32" spans="1:16" x14ac:dyDescent="0.3">
      <c r="B32" s="7">
        <f t="shared" si="1"/>
        <v>500</v>
      </c>
      <c r="C32" s="7">
        <f>MAX(0,$B$9*($B$20-MAX(B32,$B$10)))+MAX(0,$B$11*(MIN($B$20,$B$10)^2-B32^2))</f>
        <v>1000</v>
      </c>
      <c r="D32" s="6">
        <f t="shared" si="8"/>
        <v>10</v>
      </c>
      <c r="F32" s="29">
        <v>6.564822816384841</v>
      </c>
      <c r="G32" s="30">
        <v>800</v>
      </c>
      <c r="H32" s="4">
        <f t="shared" si="2"/>
        <v>6.564822816384841E-2</v>
      </c>
      <c r="I32" s="4">
        <f t="shared" si="0"/>
        <v>0.8</v>
      </c>
      <c r="J32" s="4">
        <f t="shared" si="3"/>
        <v>0.81394024168135737</v>
      </c>
      <c r="K32" s="4">
        <f t="shared" si="4"/>
        <v>1.9433033813465208E-4</v>
      </c>
      <c r="M32" s="4">
        <v>0.1</v>
      </c>
      <c r="N32" s="4">
        <f t="shared" si="5"/>
        <v>0.72936926531068413</v>
      </c>
      <c r="O32" s="12">
        <f t="shared" si="6"/>
        <v>10</v>
      </c>
      <c r="P32" s="7">
        <f t="shared" si="7"/>
        <v>729.36926531068411</v>
      </c>
    </row>
    <row r="33" spans="2:16" x14ac:dyDescent="0.3">
      <c r="B33" s="7">
        <f t="shared" si="1"/>
        <v>475</v>
      </c>
      <c r="C33" s="7">
        <f>MAX(0,$B$9*($B$20-MAX(B33,$B$10)))+MAX(0,$B$11*(MIN($B$20,$B$10)^2-B33^2))</f>
        <v>1250</v>
      </c>
      <c r="D33" s="6">
        <f t="shared" si="8"/>
        <v>10</v>
      </c>
      <c r="F33" s="29">
        <v>8.5203675003877049</v>
      </c>
      <c r="G33" s="30">
        <v>750</v>
      </c>
      <c r="H33" s="4">
        <f t="shared" si="2"/>
        <v>8.5203675003877044E-2</v>
      </c>
      <c r="I33" s="4">
        <f t="shared" si="0"/>
        <v>0.75</v>
      </c>
      <c r="J33" s="4">
        <f t="shared" si="3"/>
        <v>0.7647674971334566</v>
      </c>
      <c r="K33" s="4">
        <f t="shared" si="4"/>
        <v>2.1807897158664883E-4</v>
      </c>
      <c r="M33" s="4">
        <v>0.125</v>
      </c>
      <c r="N33" s="4">
        <f t="shared" si="5"/>
        <v>0.67298276788353695</v>
      </c>
      <c r="O33" s="12">
        <f t="shared" si="6"/>
        <v>12.5</v>
      </c>
      <c r="P33" s="7">
        <f t="shared" si="7"/>
        <v>672.98276788353689</v>
      </c>
    </row>
    <row r="34" spans="2:16" x14ac:dyDescent="0.3">
      <c r="B34" s="7">
        <f t="shared" si="1"/>
        <v>450</v>
      </c>
      <c r="C34" s="7">
        <f>MAX(0,$B$9*($B$20-MAX(B34,$B$10)))+MAX(0,$B$11*(MIN($B$20,$B$10)^2-B34^2))</f>
        <v>1500</v>
      </c>
      <c r="D34" s="6">
        <f t="shared" si="8"/>
        <v>10</v>
      </c>
      <c r="F34" s="29">
        <v>10.643092507615236</v>
      </c>
      <c r="G34" s="30">
        <v>700</v>
      </c>
      <c r="H34" s="4">
        <f t="shared" si="2"/>
        <v>0.10643092507615236</v>
      </c>
      <c r="I34" s="4">
        <f t="shared" si="0"/>
        <v>0.7</v>
      </c>
      <c r="J34" s="4">
        <f t="shared" si="3"/>
        <v>0.71445871430925278</v>
      </c>
      <c r="K34" s="4">
        <f t="shared" si="4"/>
        <v>2.0905441947659251E-4</v>
      </c>
      <c r="M34" s="4">
        <v>0.15</v>
      </c>
      <c r="N34" s="4">
        <f t="shared" si="5"/>
        <v>0.62073812726595801</v>
      </c>
      <c r="O34" s="12">
        <f t="shared" si="6"/>
        <v>15</v>
      </c>
      <c r="P34" s="7">
        <f t="shared" si="7"/>
        <v>620.73812726595804</v>
      </c>
    </row>
    <row r="35" spans="2:16" x14ac:dyDescent="0.3">
      <c r="B35" s="7">
        <f t="shared" si="1"/>
        <v>425</v>
      </c>
      <c r="C35" s="7">
        <f>MAX(0,$B$9*($B$20-MAX(B35,$B$10)))+MAX(0,$B$11*(MIN($B$20,$B$10)^2-B35^2))</f>
        <v>1750</v>
      </c>
      <c r="D35" s="6">
        <f t="shared" si="8"/>
        <v>10</v>
      </c>
      <c r="F35" s="29">
        <v>12.963199773774969</v>
      </c>
      <c r="G35" s="30">
        <v>650</v>
      </c>
      <c r="H35" s="4">
        <f t="shared" si="2"/>
        <v>0.12963199773774969</v>
      </c>
      <c r="I35" s="4">
        <f t="shared" si="0"/>
        <v>0.65</v>
      </c>
      <c r="J35" s="4">
        <f t="shared" si="3"/>
        <v>0.66299574259034433</v>
      </c>
      <c r="K35" s="4">
        <f t="shared" si="4"/>
        <v>1.6888932547448892E-4</v>
      </c>
      <c r="M35" s="4">
        <v>0.17499999999999999</v>
      </c>
      <c r="N35" s="4">
        <f t="shared" si="5"/>
        <v>0.57245203461369476</v>
      </c>
      <c r="O35" s="12">
        <f t="shared" si="6"/>
        <v>17.5</v>
      </c>
      <c r="P35" s="7">
        <f t="shared" si="7"/>
        <v>572.45203461369476</v>
      </c>
    </row>
    <row r="36" spans="2:16" x14ac:dyDescent="0.3">
      <c r="B36" s="7">
        <f t="shared" si="1"/>
        <v>400</v>
      </c>
      <c r="C36" s="7">
        <f>MAX(0,$B$9*($B$20-MAX(B36,$B$10)))+MAX(0,$B$11*(MIN($B$20,$B$10)^2-B36^2))</f>
        <v>2000</v>
      </c>
      <c r="D36" s="6">
        <f t="shared" si="8"/>
        <v>10</v>
      </c>
      <c r="F36" s="29">
        <v>15.519466003190473</v>
      </c>
      <c r="G36" s="30">
        <v>600</v>
      </c>
      <c r="H36" s="4">
        <f t="shared" si="2"/>
        <v>0.15519466003190474</v>
      </c>
      <c r="I36" s="4">
        <f t="shared" si="0"/>
        <v>0.6</v>
      </c>
      <c r="J36" s="4">
        <f t="shared" si="3"/>
        <v>0.61038519724840323</v>
      </c>
      <c r="K36" s="4">
        <f t="shared" si="4"/>
        <v>1.0785232188824254E-4</v>
      </c>
      <c r="M36" s="4">
        <v>0.2</v>
      </c>
      <c r="N36" s="4">
        <f t="shared" si="5"/>
        <v>0.52794118108249521</v>
      </c>
      <c r="O36" s="12">
        <f t="shared" si="6"/>
        <v>20</v>
      </c>
      <c r="P36" s="7">
        <f t="shared" si="7"/>
        <v>527.94118108249518</v>
      </c>
    </row>
    <row r="37" spans="2:16" x14ac:dyDescent="0.3">
      <c r="B37" s="7">
        <f t="shared" si="1"/>
        <v>375</v>
      </c>
      <c r="C37" s="7">
        <f>MAX(0,$B$9*($B$20-MAX(B37,$B$10)))+MAX(0,$B$11*(MIN($B$20,$B$10)^2-B37^2))</f>
        <v>2242.1875</v>
      </c>
      <c r="D37" s="6">
        <f t="shared" si="8"/>
        <v>9.6875</v>
      </c>
      <c r="F37" s="29">
        <v>18.362598173175016</v>
      </c>
      <c r="G37" s="30">
        <v>550</v>
      </c>
      <c r="H37" s="4">
        <f t="shared" si="2"/>
        <v>0.18362598173175015</v>
      </c>
      <c r="I37" s="4">
        <f t="shared" si="0"/>
        <v>0.55000000000000004</v>
      </c>
      <c r="J37" s="4">
        <f t="shared" si="3"/>
        <v>0.55667675090609958</v>
      </c>
      <c r="K37" s="4">
        <f t="shared" si="4"/>
        <v>4.4579002662100996E-5</v>
      </c>
      <c r="M37" s="4">
        <v>0.22500000000000001</v>
      </c>
      <c r="N37" s="4">
        <f t="shared" si="5"/>
        <v>0.48702225782810687</v>
      </c>
      <c r="O37" s="12">
        <f t="shared" si="6"/>
        <v>22.5</v>
      </c>
      <c r="P37" s="7">
        <f t="shared" si="7"/>
        <v>487.02225782810689</v>
      </c>
    </row>
    <row r="38" spans="2:16" x14ac:dyDescent="0.3">
      <c r="B38" s="7">
        <f t="shared" si="1"/>
        <v>350</v>
      </c>
      <c r="C38" s="7">
        <f>MAX(0,$B$9*($B$20-MAX(B38,$B$10)))+MAX(0,$B$11*(MIN($B$20,$B$10)^2-B38^2))</f>
        <v>2468.75</v>
      </c>
      <c r="D38" s="6">
        <f t="shared" si="8"/>
        <v>9.0625</v>
      </c>
      <c r="F38" s="29">
        <v>21.560242626574166</v>
      </c>
      <c r="G38" s="30">
        <v>500</v>
      </c>
      <c r="H38" s="4">
        <f t="shared" si="2"/>
        <v>0.21560242626574166</v>
      </c>
      <c r="I38" s="4">
        <f t="shared" si="0"/>
        <v>0.5</v>
      </c>
      <c r="J38" s="4">
        <f t="shared" si="3"/>
        <v>0.50199410899310526</v>
      </c>
      <c r="K38" s="4">
        <f t="shared" si="4"/>
        <v>3.9764706763832704E-6</v>
      </c>
      <c r="M38" s="4">
        <v>0.25</v>
      </c>
      <c r="N38" s="4">
        <f t="shared" si="5"/>
        <v>0.44951195600627758</v>
      </c>
      <c r="O38" s="12">
        <f t="shared" si="6"/>
        <v>25</v>
      </c>
      <c r="P38" s="7">
        <f t="shared" si="7"/>
        <v>449.51195600627756</v>
      </c>
    </row>
    <row r="39" spans="2:16" x14ac:dyDescent="0.3">
      <c r="B39" s="7">
        <f t="shared" si="1"/>
        <v>325</v>
      </c>
      <c r="C39" s="7">
        <f>MAX(0,$B$9*($B$20-MAX(B39,$B$10)))+MAX(0,$B$11*(MIN($B$20,$B$10)^2-B39^2))</f>
        <v>2679.6875</v>
      </c>
      <c r="D39" s="6">
        <f t="shared" si="8"/>
        <v>8.4375</v>
      </c>
      <c r="F39" s="29">
        <v>25.204536734126403</v>
      </c>
      <c r="G39" s="30">
        <v>450</v>
      </c>
      <c r="H39" s="4">
        <f t="shared" si="2"/>
        <v>0.25204536734126404</v>
      </c>
      <c r="I39" s="4">
        <f t="shared" si="0"/>
        <v>0.45</v>
      </c>
      <c r="J39" s="4">
        <f t="shared" si="3"/>
        <v>0.44658827851026611</v>
      </c>
      <c r="K39" s="4">
        <f t="shared" si="4"/>
        <v>1.1639843523512094E-5</v>
      </c>
      <c r="M39" s="4">
        <v>0.27500000000000002</v>
      </c>
      <c r="N39" s="4">
        <f t="shared" si="5"/>
        <v>0.415226966772755</v>
      </c>
      <c r="O39" s="12">
        <f t="shared" si="6"/>
        <v>27.500000000000004</v>
      </c>
      <c r="P39" s="7">
        <f t="shared" si="7"/>
        <v>415.22696677275502</v>
      </c>
    </row>
    <row r="40" spans="2:16" x14ac:dyDescent="0.3">
      <c r="B40" s="7">
        <f t="shared" si="1"/>
        <v>300</v>
      </c>
      <c r="C40" s="7">
        <f>MAX(0,$B$9*($B$20-MAX(B40,$B$10)))+MAX(0,$B$11*(MIN($B$20,$B$10)^2-B40^2))</f>
        <v>2875</v>
      </c>
      <c r="D40" s="6">
        <f t="shared" si="8"/>
        <v>7.8125</v>
      </c>
      <c r="F40" s="29">
        <v>28.087933716655243</v>
      </c>
      <c r="G40" s="30">
        <v>415</v>
      </c>
      <c r="H40" s="4">
        <f t="shared" si="2"/>
        <v>0.28087933716655245</v>
      </c>
      <c r="I40" s="4">
        <f t="shared" si="0"/>
        <v>0.41499999999999998</v>
      </c>
      <c r="J40" s="4">
        <f t="shared" si="3"/>
        <v>0.40761265454741408</v>
      </c>
      <c r="K40" s="4">
        <f t="shared" si="4"/>
        <v>5.457287283584162E-5</v>
      </c>
      <c r="M40" s="4">
        <v>0.3</v>
      </c>
      <c r="N40" s="4">
        <f t="shared" si="5"/>
        <v>0.38398398128328692</v>
      </c>
      <c r="O40" s="12">
        <f t="shared" si="6"/>
        <v>30</v>
      </c>
      <c r="P40" s="7">
        <f t="shared" si="7"/>
        <v>383.98398128328694</v>
      </c>
    </row>
    <row r="41" spans="2:16" x14ac:dyDescent="0.3">
      <c r="B41" s="7">
        <f t="shared" si="1"/>
        <v>275</v>
      </c>
      <c r="C41" s="7">
        <f>MAX(0,$B$9*($B$20-MAX(B41,$B$10)))+MAX(0,$B$11*(MIN($B$20,$B$10)^2-B41^2))</f>
        <v>3054.6875</v>
      </c>
      <c r="D41" s="6">
        <f t="shared" si="8"/>
        <v>7.1875</v>
      </c>
      <c r="F41" s="29">
        <v>34.396902785749241</v>
      </c>
      <c r="G41" s="30">
        <v>350</v>
      </c>
      <c r="H41" s="4">
        <f t="shared" si="2"/>
        <v>0.34396902785749239</v>
      </c>
      <c r="I41" s="4">
        <f t="shared" si="0"/>
        <v>0.35</v>
      </c>
      <c r="J41" s="4">
        <f t="shared" si="3"/>
        <v>0.33585775410327923</v>
      </c>
      <c r="K41" s="4">
        <f t="shared" si="4"/>
        <v>2.0000311900331491E-4</v>
      </c>
      <c r="M41" s="4">
        <v>0.32500000000000001</v>
      </c>
      <c r="N41" s="4">
        <f t="shared" si="5"/>
        <v>0.35559969069362091</v>
      </c>
      <c r="O41" s="12">
        <f t="shared" si="6"/>
        <v>32.5</v>
      </c>
      <c r="P41" s="7">
        <f t="shared" si="7"/>
        <v>355.59969069362091</v>
      </c>
    </row>
    <row r="42" spans="2:16" x14ac:dyDescent="0.3">
      <c r="B42" s="7">
        <f t="shared" si="1"/>
        <v>250</v>
      </c>
      <c r="C42" s="7">
        <f>MAX(0,$B$9*($B$20-MAX(B42,$B$10)))+MAX(0,$B$11*(MIN($B$20,$B$10)^2-B42^2))</f>
        <v>3218.75</v>
      </c>
      <c r="D42" s="6">
        <f t="shared" si="8"/>
        <v>6.5625</v>
      </c>
      <c r="F42" s="29">
        <v>40.375636399883675</v>
      </c>
      <c r="G42" s="30">
        <v>300</v>
      </c>
      <c r="H42" s="4">
        <f t="shared" si="2"/>
        <v>0.40375636399883674</v>
      </c>
      <c r="I42" s="4">
        <f t="shared" si="0"/>
        <v>0.3</v>
      </c>
      <c r="J42" s="4">
        <f t="shared" si="3"/>
        <v>0.282812528183921</v>
      </c>
      <c r="K42" s="4">
        <f t="shared" si="4"/>
        <v>2.9540918742850967E-4</v>
      </c>
      <c r="M42" s="4">
        <v>0.35</v>
      </c>
      <c r="N42" s="4">
        <f t="shared" si="5"/>
        <v>0.3298907861595049</v>
      </c>
      <c r="O42" s="12">
        <f t="shared" si="6"/>
        <v>35</v>
      </c>
      <c r="P42" s="7">
        <f t="shared" si="7"/>
        <v>329.8907861595049</v>
      </c>
    </row>
    <row r="43" spans="2:16" x14ac:dyDescent="0.3">
      <c r="B43" s="7">
        <f t="shared" si="1"/>
        <v>225</v>
      </c>
      <c r="C43" s="7">
        <f>MAX(0,$B$9*($B$20-MAX(B43,$B$10)))+MAX(0,$B$11*(MIN($B$20,$B$10)^2-B43^2))</f>
        <v>3367.1875</v>
      </c>
      <c r="D43" s="6">
        <f t="shared" si="8"/>
        <v>5.9375</v>
      </c>
      <c r="F43" s="29">
        <v>49.776531070708444</v>
      </c>
      <c r="G43" s="30">
        <v>237.4</v>
      </c>
      <c r="H43" s="4">
        <f t="shared" si="2"/>
        <v>0.49776531070708446</v>
      </c>
      <c r="I43" s="4">
        <f t="shared" si="0"/>
        <v>0.2374</v>
      </c>
      <c r="J43" s="4">
        <f t="shared" si="3"/>
        <v>0.22270307515730434</v>
      </c>
      <c r="K43" s="4">
        <f t="shared" si="4"/>
        <v>2.1599959983184495E-4</v>
      </c>
      <c r="M43" s="4">
        <v>0.375</v>
      </c>
      <c r="N43" s="4">
        <f t="shared" si="5"/>
        <v>0.30667395883668641</v>
      </c>
      <c r="O43" s="12">
        <f t="shared" si="6"/>
        <v>37.5</v>
      </c>
      <c r="P43" s="7">
        <f t="shared" si="7"/>
        <v>306.67395883668644</v>
      </c>
    </row>
    <row r="44" spans="2:16" x14ac:dyDescent="0.3">
      <c r="B44" s="7">
        <f t="shared" si="1"/>
        <v>200</v>
      </c>
      <c r="C44" s="7">
        <f>MAX(0,$B$9*($B$20-MAX(B44,$B$10)))+MAX(0,$B$11*(MIN($B$20,$B$10)^2-B44^2))</f>
        <v>3500</v>
      </c>
      <c r="D44" s="6">
        <f t="shared" si="8"/>
        <v>5.3125</v>
      </c>
      <c r="F44" s="29">
        <v>56.637935209688706</v>
      </c>
      <c r="G44" s="30">
        <v>200</v>
      </c>
      <c r="H44" s="4">
        <f t="shared" si="2"/>
        <v>0.56637935209688706</v>
      </c>
      <c r="I44" s="4">
        <f t="shared" si="0"/>
        <v>0.2</v>
      </c>
      <c r="J44" s="4">
        <f t="shared" si="3"/>
        <v>0.19195927824269493</v>
      </c>
      <c r="K44" s="4">
        <f t="shared" si="4"/>
        <v>6.4653206378399307E-5</v>
      </c>
      <c r="M44" s="4">
        <v>0.4</v>
      </c>
      <c r="N44" s="4">
        <f t="shared" si="5"/>
        <v>0.28576589988091317</v>
      </c>
      <c r="O44" s="12">
        <f t="shared" si="6"/>
        <v>40</v>
      </c>
      <c r="P44" s="7">
        <f t="shared" si="7"/>
        <v>285.76589988091314</v>
      </c>
    </row>
    <row r="45" spans="2:16" x14ac:dyDescent="0.3">
      <c r="B45" s="7">
        <f t="shared" si="1"/>
        <v>175</v>
      </c>
      <c r="C45" s="7">
        <f>MAX(0,$B$9*($B$20-MAX(B45,$B$10)))+MAX(0,$B$11*(MIN($B$20,$B$10)^2-B45^2))</f>
        <v>3617.1875</v>
      </c>
      <c r="D45" s="6">
        <f t="shared" si="8"/>
        <v>4.6875</v>
      </c>
      <c r="F45" s="29">
        <v>67.233977807852256</v>
      </c>
      <c r="G45" s="30">
        <v>150</v>
      </c>
      <c r="H45" s="4">
        <f t="shared" si="2"/>
        <v>0.67233977807852252</v>
      </c>
      <c r="I45" s="4">
        <f t="shared" si="0"/>
        <v>0.15</v>
      </c>
      <c r="J45" s="4">
        <f t="shared" si="3"/>
        <v>0.15653100540759213</v>
      </c>
      <c r="K45" s="4">
        <f t="shared" si="4"/>
        <v>4.2654031633997683E-5</v>
      </c>
      <c r="M45" s="4">
        <v>0.42499999999999999</v>
      </c>
      <c r="N45" s="4">
        <f t="shared" si="5"/>
        <v>0.26698330044793273</v>
      </c>
      <c r="O45" s="12">
        <f t="shared" si="6"/>
        <v>42.5</v>
      </c>
      <c r="P45" s="7">
        <f t="shared" si="7"/>
        <v>266.98330044793272</v>
      </c>
    </row>
    <row r="46" spans="2:16" x14ac:dyDescent="0.3">
      <c r="B46" s="7">
        <f t="shared" si="1"/>
        <v>150</v>
      </c>
      <c r="C46" s="7">
        <f>MAX(0,$B$9*($B$20-MAX(B46,$B$10)))+MAX(0,$B$11*(MIN($B$20,$B$10)^2-B46^2))</f>
        <v>3718.75</v>
      </c>
      <c r="D46" s="6">
        <f t="shared" si="8"/>
        <v>4.0625</v>
      </c>
      <c r="F46" s="29">
        <v>78.737903095553676</v>
      </c>
      <c r="G46" s="30">
        <v>100</v>
      </c>
      <c r="H46" s="4">
        <f t="shared" si="2"/>
        <v>0.78737903095553674</v>
      </c>
      <c r="I46" s="4">
        <f t="shared" si="0"/>
        <v>0.1</v>
      </c>
      <c r="J46" s="4">
        <f t="shared" si="3"/>
        <v>0.12023080883772008</v>
      </c>
      <c r="K46" s="4">
        <f t="shared" si="4"/>
        <v>4.0928562622837277E-4</v>
      </c>
      <c r="M46" s="4">
        <v>0.45</v>
      </c>
      <c r="N46" s="4">
        <f t="shared" si="5"/>
        <v>0.25014285169349326</v>
      </c>
      <c r="O46" s="12">
        <f t="shared" si="6"/>
        <v>45</v>
      </c>
      <c r="P46" s="7">
        <f t="shared" si="7"/>
        <v>250.14285169349327</v>
      </c>
    </row>
    <row r="47" spans="2:16" x14ac:dyDescent="0.3">
      <c r="B47" s="7">
        <f t="shared" si="1"/>
        <v>125</v>
      </c>
      <c r="C47" s="7">
        <f>MAX(0,$B$9*($B$20-MAX(B47,$B$10)))+MAX(0,$B$11*(MIN($B$20,$B$10)^2-B47^2))</f>
        <v>3804.6875</v>
      </c>
      <c r="D47" s="6">
        <f t="shared" si="8"/>
        <v>3.4375</v>
      </c>
      <c r="F47" s="29">
        <v>89.938506082257078</v>
      </c>
      <c r="G47" s="30">
        <v>50</v>
      </c>
      <c r="H47" s="4">
        <f t="shared" si="2"/>
        <v>0.89938506082257075</v>
      </c>
      <c r="I47" s="4">
        <f t="shared" si="0"/>
        <v>0.05</v>
      </c>
      <c r="J47" s="4">
        <f t="shared" si="3"/>
        <v>7.0493555032276056E-2</v>
      </c>
      <c r="K47" s="4">
        <f t="shared" si="4"/>
        <v>4.1998579786092717E-4</v>
      </c>
      <c r="M47" s="4">
        <v>0.47499999999999998</v>
      </c>
      <c r="N47" s="4">
        <f t="shared" si="5"/>
        <v>0.23506124477334223</v>
      </c>
      <c r="O47" s="12">
        <f t="shared" si="6"/>
        <v>47.5</v>
      </c>
      <c r="P47" s="7">
        <f t="shared" si="7"/>
        <v>235.06124477334222</v>
      </c>
    </row>
    <row r="48" spans="2:16" x14ac:dyDescent="0.3">
      <c r="B48" s="7">
        <f t="shared" si="1"/>
        <v>100</v>
      </c>
      <c r="C48" s="7">
        <f>MAX(0,$B$9*($B$20-MAX(B48,$B$10)))+MAX(0,$B$11*(MIN($B$20,$B$10)^2-B48^2))</f>
        <v>3875</v>
      </c>
      <c r="D48" s="6">
        <f t="shared" si="8"/>
        <v>2.8125</v>
      </c>
      <c r="F48" s="29">
        <v>99.81210568855272</v>
      </c>
      <c r="G48" s="30">
        <v>1</v>
      </c>
      <c r="H48" s="4">
        <f t="shared" si="2"/>
        <v>0.99812105688552721</v>
      </c>
      <c r="I48" s="4">
        <f t="shared" si="0"/>
        <v>1E-3</v>
      </c>
      <c r="J48" s="4">
        <f t="shared" si="3"/>
        <v>1.6167491043377336E-3</v>
      </c>
      <c r="K48" s="4">
        <f t="shared" si="4"/>
        <v>3.8037945770139655E-7</v>
      </c>
      <c r="M48" s="4">
        <v>0.5</v>
      </c>
      <c r="N48" s="4">
        <f t="shared" si="5"/>
        <v>0.22155517084322729</v>
      </c>
      <c r="O48" s="12">
        <f t="shared" si="6"/>
        <v>50</v>
      </c>
      <c r="P48" s="7">
        <f t="shared" si="7"/>
        <v>221.5551708432273</v>
      </c>
    </row>
    <row r="49" spans="2:16" x14ac:dyDescent="0.3">
      <c r="B49" s="7">
        <f t="shared" si="1"/>
        <v>75</v>
      </c>
      <c r="C49" s="7">
        <f>MAX(0,$B$9*($B$20-MAX(B49,$B$10)))+MAX(0,$B$11*(MIN($B$20,$B$10)^2-B49^2))</f>
        <v>3929.6875</v>
      </c>
      <c r="D49" s="6">
        <f t="shared" si="8"/>
        <v>2.1875</v>
      </c>
      <c r="H49" s="4"/>
      <c r="I49" s="4"/>
      <c r="J49" s="4"/>
      <c r="K49" s="4"/>
      <c r="M49" s="4">
        <v>0.52500000000000002</v>
      </c>
      <c r="N49" s="4">
        <f t="shared" si="5"/>
        <v>0.20944132105889618</v>
      </c>
      <c r="O49" s="12">
        <f t="shared" si="6"/>
        <v>52.5</v>
      </c>
      <c r="P49" s="7">
        <f t="shared" si="7"/>
        <v>209.44132105889619</v>
      </c>
    </row>
    <row r="50" spans="2:16" x14ac:dyDescent="0.3">
      <c r="B50" s="7">
        <f t="shared" si="1"/>
        <v>50</v>
      </c>
      <c r="C50" s="7">
        <f>MAX(0,$B$9*($B$20-MAX(B50,$B$10)))+MAX(0,$B$11*(MIN($B$20,$B$10)^2-B50^2))</f>
        <v>3968.75</v>
      </c>
      <c r="D50" s="6">
        <f t="shared" si="8"/>
        <v>1.5625</v>
      </c>
      <c r="H50" s="4"/>
      <c r="I50" s="4"/>
      <c r="J50" s="4"/>
      <c r="K50" s="4"/>
      <c r="M50" s="4">
        <v>0.55000000000000004</v>
      </c>
      <c r="N50" s="4">
        <f t="shared" si="5"/>
        <v>0.19853638657609668</v>
      </c>
      <c r="O50" s="12">
        <f t="shared" si="6"/>
        <v>55.000000000000007</v>
      </c>
      <c r="P50" s="7">
        <f t="shared" si="7"/>
        <v>198.53638657609667</v>
      </c>
    </row>
    <row r="51" spans="2:16" x14ac:dyDescent="0.3">
      <c r="B51" s="7">
        <f t="shared" si="1"/>
        <v>25</v>
      </c>
      <c r="C51" s="7">
        <f>MAX(0,$B$9*($B$20-MAX(B51,$B$10)))+MAX(0,$B$11*(MIN($B$20,$B$10)^2-B51^2))</f>
        <v>3992.1875</v>
      </c>
      <c r="D51" s="6">
        <f t="shared" si="8"/>
        <v>0.9375</v>
      </c>
      <c r="H51" s="4"/>
      <c r="I51" s="4"/>
      <c r="J51" s="4"/>
      <c r="K51" s="4"/>
      <c r="M51" s="4">
        <v>0.57499999999999996</v>
      </c>
      <c r="N51" s="4">
        <f t="shared" si="5"/>
        <v>0.18865705855057641</v>
      </c>
      <c r="O51" s="12">
        <f t="shared" si="6"/>
        <v>57.499999999999993</v>
      </c>
      <c r="P51" s="7">
        <f t="shared" si="7"/>
        <v>188.65705855057641</v>
      </c>
    </row>
    <row r="52" spans="2:16" x14ac:dyDescent="0.3">
      <c r="B52" s="7">
        <f t="shared" si="1"/>
        <v>0</v>
      </c>
      <c r="C52" s="7">
        <f>MAX(0,$B$9*($B$20-MAX(B52,$B$10)))+MAX(0,$B$11*(MIN($B$20,$B$10)^2-B52^2))</f>
        <v>4000</v>
      </c>
      <c r="D52" s="6">
        <f t="shared" si="8"/>
        <v>0.3125</v>
      </c>
      <c r="H52" s="4"/>
      <c r="I52" s="4"/>
      <c r="J52" s="4"/>
      <c r="K52" s="4"/>
      <c r="M52" s="4">
        <v>0.6</v>
      </c>
      <c r="N52" s="4">
        <f t="shared" si="5"/>
        <v>0.17962002813808331</v>
      </c>
      <c r="O52" s="12">
        <f t="shared" si="6"/>
        <v>60</v>
      </c>
      <c r="P52" s="7">
        <f t="shared" si="7"/>
        <v>179.62002813808331</v>
      </c>
    </row>
    <row r="53" spans="2:16" x14ac:dyDescent="0.3">
      <c r="B53" s="7">
        <f t="shared" si="1"/>
        <v>0</v>
      </c>
      <c r="C53" s="7">
        <f>MAX(0,$B$9*($B$20-MAX(B53,$B$10)))+MAX(0,$B$11*(MIN($B$20,$B$10)^2-B53^2))</f>
        <v>4000</v>
      </c>
      <c r="D53" s="6">
        <f t="shared" si="8"/>
        <v>0</v>
      </c>
      <c r="H53" s="4"/>
      <c r="I53" s="4"/>
      <c r="J53" s="4"/>
      <c r="K53" s="4"/>
      <c r="M53" s="4">
        <v>0.625</v>
      </c>
      <c r="N53" s="4">
        <f t="shared" si="5"/>
        <v>0.17124198649436473</v>
      </c>
      <c r="O53" s="12">
        <f t="shared" si="6"/>
        <v>62.5</v>
      </c>
      <c r="P53" s="7">
        <f t="shared" si="7"/>
        <v>171.24198649436474</v>
      </c>
    </row>
    <row r="54" spans="2:16" x14ac:dyDescent="0.3">
      <c r="B54" s="7">
        <f t="shared" si="1"/>
        <v>0</v>
      </c>
      <c r="C54" s="7">
        <f>MAX(0,$B$9*($B$20-MAX(B54,$B$10)))+MAX(0,$B$11*(MIN($B$20,$B$10)^2-B54^2))</f>
        <v>4000</v>
      </c>
      <c r="D54" s="6">
        <f t="shared" si="8"/>
        <v>0</v>
      </c>
      <c r="H54" s="4"/>
      <c r="I54" s="4"/>
      <c r="J54" s="4"/>
      <c r="K54" s="4"/>
      <c r="M54" s="4">
        <v>0.65</v>
      </c>
      <c r="N54" s="4">
        <f t="shared" si="5"/>
        <v>0.16333962477516872</v>
      </c>
      <c r="O54" s="12">
        <f t="shared" si="6"/>
        <v>65</v>
      </c>
      <c r="P54" s="7">
        <f t="shared" si="7"/>
        <v>163.33962477516872</v>
      </c>
    </row>
    <row r="55" spans="2:16" x14ac:dyDescent="0.3">
      <c r="B55" s="7">
        <f t="shared" si="1"/>
        <v>0</v>
      </c>
      <c r="C55" s="7">
        <f>MAX(0,$B$9*($B$20-MAX(B55,$B$10)))+MAX(0,$B$11*(MIN($B$20,$B$10)^2-B55^2))</f>
        <v>4000</v>
      </c>
      <c r="D55" s="6">
        <f t="shared" si="8"/>
        <v>0</v>
      </c>
      <c r="H55" s="4"/>
      <c r="I55" s="4"/>
      <c r="J55" s="4"/>
      <c r="K55" s="4"/>
      <c r="M55" s="4">
        <v>0.67500000000000004</v>
      </c>
      <c r="N55" s="4">
        <f t="shared" si="5"/>
        <v>0.15572963413624308</v>
      </c>
      <c r="O55" s="12">
        <f t="shared" si="6"/>
        <v>67.5</v>
      </c>
      <c r="P55" s="7">
        <f t="shared" si="7"/>
        <v>155.72963413624308</v>
      </c>
    </row>
    <row r="56" spans="2:16" x14ac:dyDescent="0.3">
      <c r="B56" s="7">
        <f t="shared" si="1"/>
        <v>0</v>
      </c>
      <c r="C56" s="7">
        <f>MAX(0,$B$9*($B$20-MAX(B56,$B$10)))+MAX(0,$B$11*(MIN($B$20,$B$10)^2-B56^2))</f>
        <v>4000</v>
      </c>
      <c r="D56" s="6">
        <f t="shared" si="8"/>
        <v>0</v>
      </c>
      <c r="H56" s="4"/>
      <c r="I56" s="4"/>
      <c r="J56" s="4"/>
      <c r="K56" s="4"/>
      <c r="M56" s="4">
        <v>0.7</v>
      </c>
      <c r="N56" s="4">
        <f t="shared" si="5"/>
        <v>0.14822870573333502</v>
      </c>
      <c r="O56" s="12">
        <f t="shared" si="6"/>
        <v>70</v>
      </c>
      <c r="P56" s="7">
        <f t="shared" si="7"/>
        <v>148.22870573333503</v>
      </c>
    </row>
    <row r="57" spans="2:16" x14ac:dyDescent="0.3">
      <c r="B57" s="7">
        <f t="shared" si="1"/>
        <v>0</v>
      </c>
      <c r="C57" s="7">
        <f>MAX(0,$B$9*($B$20-MAX(B57,$B$10)))+MAX(0,$B$11*(MIN($B$20,$B$10)^2-B57^2))</f>
        <v>4000</v>
      </c>
      <c r="D57" s="6">
        <f t="shared" si="8"/>
        <v>0</v>
      </c>
      <c r="H57" s="4"/>
      <c r="I57" s="4"/>
      <c r="J57" s="4"/>
      <c r="K57" s="4"/>
      <c r="M57" s="4">
        <v>0.72499999999999998</v>
      </c>
      <c r="N57" s="4">
        <f t="shared" si="5"/>
        <v>0.14065353072219244</v>
      </c>
      <c r="O57" s="12">
        <f t="shared" si="6"/>
        <v>72.5</v>
      </c>
      <c r="P57" s="7">
        <f t="shared" si="7"/>
        <v>140.65353072219244</v>
      </c>
    </row>
    <row r="58" spans="2:16" x14ac:dyDescent="0.3">
      <c r="B58" s="7">
        <f t="shared" si="1"/>
        <v>0</v>
      </c>
      <c r="C58" s="7">
        <f>MAX(0,$B$9*($B$20-MAX(B58,$B$10)))+MAX(0,$B$11*(MIN($B$20,$B$10)^2-B58^2))</f>
        <v>4000</v>
      </c>
      <c r="D58" s="6">
        <f t="shared" si="8"/>
        <v>0</v>
      </c>
      <c r="H58" s="4"/>
      <c r="I58" s="4"/>
      <c r="J58" s="4"/>
      <c r="K58" s="4"/>
      <c r="M58" s="4">
        <v>0.75</v>
      </c>
      <c r="N58" s="4">
        <f t="shared" si="5"/>
        <v>0.13282080025856347</v>
      </c>
      <c r="O58" s="12">
        <f t="shared" si="6"/>
        <v>75</v>
      </c>
      <c r="P58" s="7">
        <f t="shared" si="7"/>
        <v>132.82080025856345</v>
      </c>
    </row>
    <row r="59" spans="2:16" x14ac:dyDescent="0.3">
      <c r="B59" s="7">
        <f t="shared" si="1"/>
        <v>0</v>
      </c>
      <c r="C59" s="7">
        <f>MAX(0,$B$9*($B$20-MAX(B59,$B$10)))+MAX(0,$B$11*(MIN($B$20,$B$10)^2-B59^2))</f>
        <v>4000</v>
      </c>
      <c r="D59" s="6">
        <f t="shared" si="8"/>
        <v>0</v>
      </c>
      <c r="H59" s="4"/>
      <c r="I59" s="4"/>
      <c r="J59" s="4"/>
      <c r="K59" s="4"/>
      <c r="M59" s="4">
        <v>0.77500000000000002</v>
      </c>
      <c r="N59" s="4">
        <f t="shared" si="5"/>
        <v>0.12454720549819487</v>
      </c>
      <c r="O59" s="12">
        <f t="shared" si="6"/>
        <v>77.5</v>
      </c>
      <c r="P59" s="7">
        <f t="shared" si="7"/>
        <v>124.54720549819487</v>
      </c>
    </row>
    <row r="60" spans="2:16" x14ac:dyDescent="0.3">
      <c r="B60" s="7">
        <f t="shared" si="1"/>
        <v>0</v>
      </c>
      <c r="C60" s="7">
        <f>MAX(0,$B$9*($B$20-MAX(B60,$B$10)))+MAX(0,$B$11*(MIN($B$20,$B$10)^2-B60^2))</f>
        <v>4000</v>
      </c>
      <c r="D60" s="6">
        <f t="shared" si="8"/>
        <v>0</v>
      </c>
      <c r="H60" s="4"/>
      <c r="I60" s="4"/>
      <c r="J60" s="4"/>
      <c r="K60" s="4"/>
      <c r="M60" s="4">
        <v>0.8</v>
      </c>
      <c r="N60" s="4">
        <f t="shared" si="5"/>
        <v>0.11564943759683577</v>
      </c>
      <c r="O60" s="12">
        <f t="shared" si="6"/>
        <v>80</v>
      </c>
      <c r="P60" s="7">
        <f t="shared" si="7"/>
        <v>115.64943759683577</v>
      </c>
    </row>
    <row r="61" spans="2:16" x14ac:dyDescent="0.3">
      <c r="B61" s="7">
        <f t="shared" si="1"/>
        <v>0</v>
      </c>
      <c r="C61" s="7">
        <f>MAX(0,$B$9*($B$20-MAX(B61,$B$10)))+MAX(0,$B$11*(MIN($B$20,$B$10)^2-B61^2))</f>
        <v>4000</v>
      </c>
      <c r="D61" s="6">
        <f t="shared" si="8"/>
        <v>0</v>
      </c>
      <c r="H61" s="4"/>
      <c r="I61" s="4"/>
      <c r="J61" s="4"/>
      <c r="K61" s="4"/>
      <c r="M61" s="4">
        <v>0.82499999999999996</v>
      </c>
      <c r="N61" s="4">
        <f t="shared" si="5"/>
        <v>0.10594418771023251</v>
      </c>
      <c r="O61" s="12">
        <f t="shared" si="6"/>
        <v>82.5</v>
      </c>
      <c r="P61" s="7">
        <f t="shared" si="7"/>
        <v>105.94418771023251</v>
      </c>
    </row>
    <row r="62" spans="2:16" x14ac:dyDescent="0.3">
      <c r="B62" s="7">
        <f t="shared" si="1"/>
        <v>0</v>
      </c>
      <c r="C62" s="7">
        <f>MAX(0,$B$9*($B$20-MAX(B62,$B$10)))+MAX(0,$B$11*(MIN($B$20,$B$10)^2-B62^2))</f>
        <v>4000</v>
      </c>
      <c r="D62" s="6">
        <f t="shared" si="8"/>
        <v>0</v>
      </c>
      <c r="H62" s="4"/>
      <c r="I62" s="4"/>
      <c r="J62" s="4"/>
      <c r="K62" s="4"/>
      <c r="M62" s="4">
        <v>0.85</v>
      </c>
      <c r="N62" s="4">
        <f t="shared" si="5"/>
        <v>9.5248146994133531E-2</v>
      </c>
      <c r="O62" s="12">
        <f t="shared" si="6"/>
        <v>85</v>
      </c>
      <c r="P62" s="7">
        <f t="shared" si="7"/>
        <v>95.248146994133535</v>
      </c>
    </row>
    <row r="63" spans="2:16" x14ac:dyDescent="0.3">
      <c r="B63" s="7">
        <f t="shared" si="1"/>
        <v>0</v>
      </c>
      <c r="C63" s="7">
        <f>MAX(0,$B$9*($B$20-MAX(B63,$B$10)))+MAX(0,$B$11*(MIN($B$20,$B$10)^2-B63^2))</f>
        <v>4000</v>
      </c>
      <c r="D63" s="6">
        <f t="shared" si="8"/>
        <v>0</v>
      </c>
      <c r="H63" s="4"/>
      <c r="I63" s="4"/>
      <c r="J63" s="4"/>
      <c r="K63" s="4"/>
      <c r="M63" s="4">
        <v>0.875</v>
      </c>
      <c r="N63" s="4">
        <f t="shared" si="5"/>
        <v>8.3378006604286847E-2</v>
      </c>
      <c r="O63" s="12">
        <f t="shared" si="6"/>
        <v>87.5</v>
      </c>
      <c r="P63" s="7">
        <f t="shared" si="7"/>
        <v>83.378006604286853</v>
      </c>
    </row>
    <row r="64" spans="2:16" x14ac:dyDescent="0.3">
      <c r="B64" s="7">
        <f t="shared" si="1"/>
        <v>0</v>
      </c>
      <c r="C64" s="7">
        <f>MAX(0,$B$9*($B$20-MAX(B64,$B$10)))+MAX(0,$B$11*(MIN($B$20,$B$10)^2-B64^2))</f>
        <v>4000</v>
      </c>
      <c r="D64" s="6">
        <f t="shared" si="8"/>
        <v>0</v>
      </c>
      <c r="H64" s="4"/>
      <c r="I64" s="4"/>
      <c r="J64" s="4"/>
      <c r="K64" s="4"/>
      <c r="M64" s="4">
        <v>0.9</v>
      </c>
      <c r="N64" s="4">
        <f t="shared" si="5"/>
        <v>7.0150457696439128E-2</v>
      </c>
      <c r="O64" s="12">
        <f t="shared" si="6"/>
        <v>90</v>
      </c>
      <c r="P64" s="7">
        <f t="shared" si="7"/>
        <v>70.150457696439133</v>
      </c>
    </row>
    <row r="65" spans="8:16" x14ac:dyDescent="0.3">
      <c r="H65" s="4"/>
      <c r="I65" s="4"/>
      <c r="J65" s="4"/>
      <c r="K65" s="4"/>
      <c r="M65" s="4">
        <v>0.92500000000000004</v>
      </c>
      <c r="N65" s="4">
        <f t="shared" si="5"/>
        <v>5.5382191426339045E-2</v>
      </c>
      <c r="O65" s="12">
        <f t="shared" si="6"/>
        <v>92.5</v>
      </c>
      <c r="P65" s="7">
        <f t="shared" si="7"/>
        <v>55.382191426339048</v>
      </c>
    </row>
    <row r="66" spans="8:16" x14ac:dyDescent="0.3">
      <c r="H66" s="4"/>
      <c r="I66" s="4"/>
      <c r="J66" s="4"/>
      <c r="K66" s="4"/>
      <c r="M66" s="4">
        <v>0.95</v>
      </c>
      <c r="N66" s="4">
        <f t="shared" si="5"/>
        <v>3.8889898949733936E-2</v>
      </c>
      <c r="O66" s="12">
        <f t="shared" si="6"/>
        <v>95</v>
      </c>
      <c r="P66" s="7">
        <f t="shared" si="7"/>
        <v>38.889898949733933</v>
      </c>
    </row>
    <row r="67" spans="8:16" x14ac:dyDescent="0.3">
      <c r="H67" s="4"/>
      <c r="I67" s="4"/>
      <c r="J67" s="4"/>
      <c r="K67" s="4"/>
      <c r="M67" s="4">
        <v>0.97499999999999998</v>
      </c>
      <c r="N67" s="4">
        <f t="shared" si="5"/>
        <v>2.0490271422371809E-2</v>
      </c>
      <c r="O67" s="12">
        <f t="shared" si="6"/>
        <v>97.5</v>
      </c>
      <c r="P67" s="7">
        <f t="shared" si="7"/>
        <v>20.490271422371809</v>
      </c>
    </row>
    <row r="68" spans="8:16" x14ac:dyDescent="0.3">
      <c r="H68" s="4"/>
      <c r="I68" s="4"/>
      <c r="J68" s="4"/>
      <c r="K68" s="4"/>
      <c r="M68" s="4">
        <v>1</v>
      </c>
      <c r="N68" s="4">
        <f t="shared" si="5"/>
        <v>0</v>
      </c>
      <c r="O68" s="12">
        <f t="shared" si="6"/>
        <v>100</v>
      </c>
      <c r="P68" s="7">
        <f t="shared" si="7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2"/>
  <sheetViews>
    <sheetView zoomScale="125" workbookViewId="0"/>
  </sheetViews>
  <sheetFormatPr defaultRowHeight="13.2" x14ac:dyDescent="0.25"/>
  <cols>
    <col min="1" max="1" width="11.33203125" style="14" customWidth="1"/>
    <col min="2" max="2" width="10.33203125" style="14" bestFit="1" customWidth="1"/>
    <col min="3" max="3" width="9.88671875" style="14" bestFit="1" customWidth="1"/>
    <col min="4" max="16384" width="8.88671875" style="14"/>
  </cols>
  <sheetData>
    <row r="1" spans="1:13" x14ac:dyDescent="0.25">
      <c r="A1" s="14" t="s">
        <v>56</v>
      </c>
    </row>
    <row r="3" spans="1:13" x14ac:dyDescent="0.25">
      <c r="A3" s="14" t="s">
        <v>27</v>
      </c>
      <c r="B3" s="15">
        <v>0.25</v>
      </c>
      <c r="C3" s="16"/>
    </row>
    <row r="4" spans="1:13" x14ac:dyDescent="0.25">
      <c r="A4" s="14" t="s">
        <v>58</v>
      </c>
      <c r="B4" s="17">
        <f>0.000005*14.5</f>
        <v>7.25E-5</v>
      </c>
      <c r="C4" s="16" t="s">
        <v>28</v>
      </c>
    </row>
    <row r="5" spans="1:13" x14ac:dyDescent="0.25">
      <c r="A5" s="14" t="s">
        <v>57</v>
      </c>
      <c r="B5" s="17">
        <f>0.000005*14.5</f>
        <v>7.25E-5</v>
      </c>
      <c r="C5" s="16" t="s">
        <v>28</v>
      </c>
    </row>
    <row r="6" spans="1:13" x14ac:dyDescent="0.25">
      <c r="A6" s="14" t="s">
        <v>29</v>
      </c>
      <c r="B6" s="18">
        <v>4</v>
      </c>
      <c r="E6" s="19" t="s">
        <v>43</v>
      </c>
      <c r="F6" s="19"/>
    </row>
    <row r="7" spans="1:13" x14ac:dyDescent="0.25">
      <c r="A7" s="14" t="s">
        <v>30</v>
      </c>
      <c r="B7" s="28">
        <f>(B5+B4*B3+B6*(B4+B5))/(1-B3)</f>
        <v>8.941666666666667E-4</v>
      </c>
      <c r="C7" s="16" t="s">
        <v>28</v>
      </c>
      <c r="E7" s="19" t="s">
        <v>44</v>
      </c>
      <c r="F7" s="19" t="s">
        <v>31</v>
      </c>
    </row>
    <row r="8" spans="1:13" x14ac:dyDescent="0.25">
      <c r="E8" s="19" t="s">
        <v>32</v>
      </c>
      <c r="F8" s="19" t="s">
        <v>32</v>
      </c>
    </row>
    <row r="9" spans="1:13" x14ac:dyDescent="0.25">
      <c r="B9" s="19" t="s">
        <v>33</v>
      </c>
      <c r="C9" s="19" t="s">
        <v>34</v>
      </c>
      <c r="D9" s="19" t="s">
        <v>35</v>
      </c>
      <c r="E9" s="19" t="s">
        <v>63</v>
      </c>
      <c r="F9" s="19" t="s">
        <v>63</v>
      </c>
      <c r="G9" s="19"/>
      <c r="H9" s="19"/>
      <c r="I9" s="19"/>
      <c r="J9" s="19"/>
      <c r="K9" s="19"/>
      <c r="L9" s="19"/>
      <c r="M9" s="19"/>
    </row>
    <row r="10" spans="1:13" x14ac:dyDescent="0.25">
      <c r="B10" s="19" t="s">
        <v>1</v>
      </c>
      <c r="C10" s="19"/>
      <c r="D10" s="19" t="s">
        <v>1</v>
      </c>
      <c r="E10" s="19" t="s">
        <v>36</v>
      </c>
      <c r="F10" s="19" t="s">
        <v>36</v>
      </c>
      <c r="G10" s="19"/>
      <c r="H10" s="19"/>
      <c r="I10" s="19"/>
      <c r="J10" s="19"/>
      <c r="K10" s="19"/>
      <c r="L10" s="19"/>
      <c r="M10" s="19"/>
    </row>
    <row r="11" spans="1:13" x14ac:dyDescent="0.2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</row>
    <row r="12" spans="1:13" ht="14.4" x14ac:dyDescent="0.3">
      <c r="A12" s="14" t="s">
        <v>0</v>
      </c>
      <c r="B12" s="14">
        <v>1000</v>
      </c>
      <c r="C12" s="20">
        <v>1.876173641038043</v>
      </c>
      <c r="D12" s="21">
        <f>B12/C12</f>
        <v>532.99970649130501</v>
      </c>
      <c r="E12" s="22">
        <f>100*(1-D12/$D$12)</f>
        <v>0</v>
      </c>
      <c r="F12" s="4">
        <f>100*(1-(D12*(1-$B$7*($B$12-B12))/$D$12))</f>
        <v>0</v>
      </c>
    </row>
    <row r="13" spans="1:13" ht="14.4" x14ac:dyDescent="0.3">
      <c r="B13" s="14">
        <v>950</v>
      </c>
      <c r="C13" s="20">
        <v>1.8092213921125351</v>
      </c>
      <c r="D13" s="21">
        <f t="shared" ref="D13:D32" si="0">B13/C13</f>
        <v>525.08775550720952</v>
      </c>
      <c r="E13" s="22">
        <f t="shared" ref="E13:E32" si="1">100*(1-D13/$D$12)</f>
        <v>1.4844193885544921</v>
      </c>
      <c r="F13" s="4">
        <f t="shared" ref="F13:F32" si="2">100*(1-(D13*(1-$B$7*($B$12-B13))/$D$12))</f>
        <v>5.8888868050578687</v>
      </c>
    </row>
    <row r="14" spans="1:13" ht="14.4" x14ac:dyDescent="0.3">
      <c r="B14" s="14">
        <v>900</v>
      </c>
      <c r="C14" s="20">
        <v>1.7419342773306783</v>
      </c>
      <c r="D14" s="21">
        <f t="shared" si="0"/>
        <v>516.66702453272262</v>
      </c>
      <c r="E14" s="22">
        <f t="shared" si="1"/>
        <v>3.0642947378149876</v>
      </c>
      <c r="F14" s="4">
        <f t="shared" si="2"/>
        <v>11.731962383342031</v>
      </c>
    </row>
    <row r="15" spans="1:13" ht="14.4" x14ac:dyDescent="0.3">
      <c r="B15" s="14">
        <v>850</v>
      </c>
      <c r="C15" s="20">
        <v>1.6743203573450756</v>
      </c>
      <c r="D15" s="21">
        <f t="shared" si="0"/>
        <v>507.6686765893607</v>
      </c>
      <c r="E15" s="22">
        <f t="shared" si="1"/>
        <v>4.7525410602374363</v>
      </c>
      <c r="F15" s="4">
        <f t="shared" si="2"/>
        <v>17.527606490533099</v>
      </c>
    </row>
    <row r="16" spans="1:13" ht="14.4" x14ac:dyDescent="0.3">
      <c r="B16" s="14">
        <v>800</v>
      </c>
      <c r="C16" s="20">
        <v>1.6063959614277266</v>
      </c>
      <c r="D16" s="21">
        <f t="shared" si="0"/>
        <v>498.00922014829956</v>
      </c>
      <c r="E16" s="22">
        <f t="shared" si="1"/>
        <v>6.564822816384841</v>
      </c>
      <c r="F16" s="4">
        <f t="shared" si="2"/>
        <v>23.274147002721357</v>
      </c>
    </row>
    <row r="17" spans="2:6" ht="14.4" x14ac:dyDescent="0.3">
      <c r="B17" s="14">
        <v>750</v>
      </c>
      <c r="C17" s="20">
        <v>1.538189641048783</v>
      </c>
      <c r="D17" s="21">
        <f t="shared" si="0"/>
        <v>487.58617272225803</v>
      </c>
      <c r="E17" s="22">
        <f t="shared" si="1"/>
        <v>8.5203675003877049</v>
      </c>
      <c r="F17" s="4">
        <f t="shared" si="2"/>
        <v>28.969877015405199</v>
      </c>
    </row>
    <row r="18" spans="2:6" ht="14.4" x14ac:dyDescent="0.3">
      <c r="B18" s="14">
        <v>700</v>
      </c>
      <c r="C18" s="20">
        <v>1.4697482103871544</v>
      </c>
      <c r="D18" s="21">
        <f t="shared" si="0"/>
        <v>476.27205466411772</v>
      </c>
      <c r="E18" s="22">
        <f t="shared" si="1"/>
        <v>10.643092507615236</v>
      </c>
      <c r="F18" s="4">
        <f t="shared" si="2"/>
        <v>34.613082942447448</v>
      </c>
    </row>
    <row r="19" spans="2:6" ht="14.4" x14ac:dyDescent="0.3">
      <c r="B19" s="14">
        <v>650</v>
      </c>
      <c r="C19" s="20">
        <v>1.4011462548082931</v>
      </c>
      <c r="D19" s="21">
        <f t="shared" si="0"/>
        <v>463.9058897452029</v>
      </c>
      <c r="E19" s="22">
        <f t="shared" si="1"/>
        <v>12.963199773774969</v>
      </c>
      <c r="F19" s="4">
        <f t="shared" si="2"/>
        <v>40.202091711240648</v>
      </c>
    </row>
    <row r="20" spans="2:6" ht="14.4" x14ac:dyDescent="0.3">
      <c r="B20" s="14">
        <v>600</v>
      </c>
      <c r="C20" s="20">
        <v>1.3325012655167863</v>
      </c>
      <c r="D20" s="21">
        <f t="shared" si="0"/>
        <v>450.28099824528192</v>
      </c>
      <c r="E20" s="22">
        <f t="shared" si="1"/>
        <v>15.519466003190473</v>
      </c>
      <c r="F20" s="4">
        <f t="shared" si="2"/>
        <v>45.735336996049348</v>
      </c>
    </row>
    <row r="21" spans="2:6" ht="14.4" x14ac:dyDescent="0.3">
      <c r="B21" s="14">
        <v>550</v>
      </c>
      <c r="C21" s="20">
        <v>1.2639984608523593</v>
      </c>
      <c r="D21" s="21">
        <f t="shared" si="0"/>
        <v>435.12711212410443</v>
      </c>
      <c r="E21" s="22">
        <f t="shared" si="1"/>
        <v>18.362598173175016</v>
      </c>
      <c r="F21" s="4">
        <f t="shared" si="2"/>
        <v>51.211447733243723</v>
      </c>
    </row>
    <row r="22" spans="2:6" ht="14.4" x14ac:dyDescent="0.3">
      <c r="B22" s="14">
        <v>500</v>
      </c>
      <c r="C22" s="20">
        <v>1.195932843153886</v>
      </c>
      <c r="D22" s="21">
        <f t="shared" si="0"/>
        <v>418.08367657285146</v>
      </c>
      <c r="E22" s="22">
        <f t="shared" si="1"/>
        <v>21.560242626574166</v>
      </c>
      <c r="F22" s="4">
        <f t="shared" si="2"/>
        <v>56.629350818943294</v>
      </c>
    </row>
    <row r="23" spans="2:6" ht="14.4" x14ac:dyDescent="0.3">
      <c r="B23" s="14">
        <v>450</v>
      </c>
      <c r="C23" s="20">
        <v>1.1287825512437628</v>
      </c>
      <c r="D23" s="21">
        <f t="shared" si="0"/>
        <v>398.65959967591812</v>
      </c>
      <c r="E23" s="22">
        <f t="shared" si="1"/>
        <v>25.204536734126403</v>
      </c>
      <c r="F23" s="4">
        <f t="shared" si="2"/>
        <v>61.988322272755823</v>
      </c>
    </row>
    <row r="24" spans="2:6" ht="14.4" x14ac:dyDescent="0.3">
      <c r="B24" s="14">
        <v>415</v>
      </c>
      <c r="C24" s="20">
        <v>1.0827279777540182</v>
      </c>
      <c r="D24" s="21">
        <f t="shared" si="0"/>
        <v>383.29110222206026</v>
      </c>
      <c r="E24" s="22">
        <f t="shared" si="1"/>
        <v>28.087933716655243</v>
      </c>
      <c r="F24" s="4">
        <f t="shared" si="2"/>
        <v>65.704236688644343</v>
      </c>
    </row>
    <row r="25" spans="2:6" ht="14.4" x14ac:dyDescent="0.3">
      <c r="B25" s="14">
        <v>350</v>
      </c>
      <c r="C25" s="20">
        <v>1.0009600190350016</v>
      </c>
      <c r="D25" s="21">
        <f t="shared" si="0"/>
        <v>349.66431560116206</v>
      </c>
      <c r="E25" s="22">
        <f t="shared" si="1"/>
        <v>34.396902785749241</v>
      </c>
      <c r="F25" s="4">
        <f t="shared" si="2"/>
        <v>72.525969579148565</v>
      </c>
    </row>
    <row r="26" spans="2:6" ht="14.4" x14ac:dyDescent="0.3">
      <c r="B26" s="14">
        <v>300</v>
      </c>
      <c r="C26" s="20">
        <v>0.9439968132595965</v>
      </c>
      <c r="D26" s="21">
        <f t="shared" si="0"/>
        <v>317.79768298592853</v>
      </c>
      <c r="E26" s="22">
        <f t="shared" si="1"/>
        <v>40.375636399883675</v>
      </c>
      <c r="F26" s="4">
        <f t="shared" si="2"/>
        <v>77.695519316589824</v>
      </c>
    </row>
    <row r="27" spans="2:6" ht="14.4" x14ac:dyDescent="0.3">
      <c r="B27" s="14">
        <v>237.4</v>
      </c>
      <c r="C27" s="20">
        <v>0.88684360494792736</v>
      </c>
      <c r="D27" s="21">
        <f t="shared" si="0"/>
        <v>267.69094198287576</v>
      </c>
      <c r="E27" s="22">
        <f t="shared" si="1"/>
        <v>49.776531070708444</v>
      </c>
      <c r="F27" s="4">
        <f t="shared" si="2"/>
        <v>84.023487634106459</v>
      </c>
    </row>
    <row r="28" spans="2:6" ht="14.4" x14ac:dyDescent="0.3">
      <c r="B28" s="14">
        <v>200</v>
      </c>
      <c r="C28" s="20">
        <v>0.86535253803561973</v>
      </c>
      <c r="D28" s="21">
        <f t="shared" si="0"/>
        <v>231.11967806092872</v>
      </c>
      <c r="E28" s="22">
        <f t="shared" si="1"/>
        <v>56.637935209688706</v>
      </c>
      <c r="F28" s="4">
        <f t="shared" si="2"/>
        <v>87.656265556358065</v>
      </c>
    </row>
    <row r="29" spans="2:6" ht="14.4" x14ac:dyDescent="0.3">
      <c r="B29" s="14">
        <v>150</v>
      </c>
      <c r="C29" s="20">
        <v>0.85889597615895286</v>
      </c>
      <c r="D29" s="21">
        <f t="shared" si="0"/>
        <v>174.64280211302332</v>
      </c>
      <c r="E29" s="22">
        <f t="shared" si="1"/>
        <v>67.233977807852256</v>
      </c>
      <c r="F29" s="4">
        <f t="shared" si="2"/>
        <v>92.137519924809226</v>
      </c>
    </row>
    <row r="30" spans="2:6" ht="14.4" x14ac:dyDescent="0.3">
      <c r="B30" s="14">
        <v>100</v>
      </c>
      <c r="C30" s="20">
        <v>0.88240292077951055</v>
      </c>
      <c r="D30" s="21">
        <f t="shared" si="0"/>
        <v>113.32691409459578</v>
      </c>
      <c r="E30" s="22">
        <f t="shared" si="1"/>
        <v>78.737903095553676</v>
      </c>
      <c r="F30" s="4">
        <f t="shared" si="2"/>
        <v>95.848575579406855</v>
      </c>
    </row>
    <row r="31" spans="2:6" ht="14.4" x14ac:dyDescent="0.3">
      <c r="B31" s="14">
        <v>50</v>
      </c>
      <c r="C31" s="20">
        <v>0.93235341410359951</v>
      </c>
      <c r="D31" s="21">
        <f t="shared" si="0"/>
        <v>53.627733050210288</v>
      </c>
      <c r="E31" s="22">
        <f t="shared" si="1"/>
        <v>89.938506082257078</v>
      </c>
      <c r="F31" s="4">
        <f t="shared" si="2"/>
        <v>98.485325936466452</v>
      </c>
    </row>
    <row r="32" spans="2:6" ht="14.4" x14ac:dyDescent="0.3">
      <c r="B32" s="14">
        <v>1</v>
      </c>
      <c r="C32" s="20">
        <v>0.99852604721588545</v>
      </c>
      <c r="D32" s="21">
        <f t="shared" si="0"/>
        <v>1.0014761285278679</v>
      </c>
      <c r="E32" s="22">
        <f t="shared" si="1"/>
        <v>99.81210568855272</v>
      </c>
      <c r="F32" s="4">
        <f t="shared" si="2"/>
        <v>99.979946509875006</v>
      </c>
    </row>
  </sheetData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</vt:vector>
  </HeadingPairs>
  <TitlesOfParts>
    <vt:vector size="5" baseType="lpstr">
      <vt:lpstr>IPR-MB-Eqs</vt:lpstr>
      <vt:lpstr>Pot-Aq-Gas-MB-ex</vt:lpstr>
      <vt:lpstr>F-IPR</vt:lpstr>
      <vt:lpstr>F-MB</vt:lpstr>
      <vt:lpstr>F-MBd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Curtis Hays Whitson</dc:creator>
  <cp:lastModifiedBy>Curtis Hays Whitson</cp:lastModifiedBy>
  <dcterms:created xsi:type="dcterms:W3CDTF">2018-09-07T07:41:07Z</dcterms:created>
  <dcterms:modified xsi:type="dcterms:W3CDTF">2018-09-12T09:47:45Z</dcterms:modified>
</cp:coreProperties>
</file>