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\ntnu\PVT-Courses-NTNU\TPG4145-2018\ClassExercises\"/>
    </mc:Choice>
  </mc:AlternateContent>
  <bookViews>
    <workbookView xWindow="0" yWindow="0" windowWidth="23040" windowHeight="8808" activeTab="2"/>
  </bookViews>
  <sheets>
    <sheet name="Fig-no-psp1" sheetId="10" r:id="rId1"/>
    <sheet name="Fig-Vo-psp1" sheetId="11" r:id="rId2"/>
    <sheet name="SepOpt" sheetId="9" r:id="rId3"/>
    <sheet name="Flash-1" sheetId="3" r:id="rId4"/>
    <sheet name="Flash-2" sheetId="8" r:id="rId5"/>
    <sheet name="Comp-Props" sheetId="1" r:id="rId6"/>
    <sheet name="PK" sheetId="5" r:id="rId7"/>
    <sheet name="PSAT" sheetId="7" r:id="rId8"/>
    <sheet name="Eqs" sheetId="4" r:id="rId9"/>
  </sheets>
  <definedNames>
    <definedName name="solver_adj" localSheetId="3" hidden="1">'Flash-1'!$B$16</definedName>
    <definedName name="solver_adj" localSheetId="4" hidden="1">'Flash-2'!$B$16</definedName>
    <definedName name="solver_adj" localSheetId="6" hidden="1">PK!$B$13</definedName>
    <definedName name="solver_adj" localSheetId="7" hidden="1">PSAT!$B$8</definedName>
    <definedName name="solver_adj" localSheetId="2" hidden="1">SepOpt!$B$11:$B$12,SepOpt!$B$8</definedName>
    <definedName name="solver_cvg" localSheetId="3" hidden="1">0.0001</definedName>
    <definedName name="solver_cvg" localSheetId="4" hidden="1">0.0001</definedName>
    <definedName name="solver_cvg" localSheetId="6" hidden="1">0.0001</definedName>
    <definedName name="solver_cvg" localSheetId="7" hidden="1">0.0001</definedName>
    <definedName name="solver_cvg" localSheetId="2" hidden="1">0.0001</definedName>
    <definedName name="solver_drv" localSheetId="3" hidden="1">1</definedName>
    <definedName name="solver_drv" localSheetId="4" hidden="1">1</definedName>
    <definedName name="solver_drv" localSheetId="6" hidden="1">1</definedName>
    <definedName name="solver_drv" localSheetId="7" hidden="1">1</definedName>
    <definedName name="solver_drv" localSheetId="2" hidden="1">2</definedName>
    <definedName name="solver_eng" localSheetId="3" hidden="1">1</definedName>
    <definedName name="solver_eng" localSheetId="4" hidden="1">1</definedName>
    <definedName name="solver_eng" localSheetId="6" hidden="1">1</definedName>
    <definedName name="solver_eng" localSheetId="7" hidden="1">1</definedName>
    <definedName name="solver_eng" localSheetId="2" hidden="1">1</definedName>
    <definedName name="solver_est" localSheetId="3" hidden="1">1</definedName>
    <definedName name="solver_est" localSheetId="4" hidden="1">1</definedName>
    <definedName name="solver_est" localSheetId="6" hidden="1">1</definedName>
    <definedName name="solver_est" localSheetId="7" hidden="1">1</definedName>
    <definedName name="solver_est" localSheetId="2" hidden="1">1</definedName>
    <definedName name="solver_itr" localSheetId="3" hidden="1">2147483647</definedName>
    <definedName name="solver_itr" localSheetId="4" hidden="1">2147483647</definedName>
    <definedName name="solver_itr" localSheetId="6" hidden="1">2147483647</definedName>
    <definedName name="solver_itr" localSheetId="7" hidden="1">2147483647</definedName>
    <definedName name="solver_itr" localSheetId="2" hidden="1">2147483647</definedName>
    <definedName name="solver_lhs1" localSheetId="3" hidden="1">'Flash-1'!$B$16</definedName>
    <definedName name="solver_lhs1" localSheetId="4" hidden="1">'Flash-2'!$B$16</definedName>
    <definedName name="solver_lhs1" localSheetId="6" hidden="1">PK!$B$13</definedName>
    <definedName name="solver_lhs1" localSheetId="7" hidden="1">PSAT!$B$8</definedName>
    <definedName name="solver_lhs1" localSheetId="2" hidden="1">SepOpt!$B$11</definedName>
    <definedName name="solver_lhs2" localSheetId="3" hidden="1">'Flash-1'!$B$16</definedName>
    <definedName name="solver_lhs2" localSheetId="4" hidden="1">'Flash-2'!$B$16</definedName>
    <definedName name="solver_lhs2" localSheetId="6" hidden="1">PK!$B$13</definedName>
    <definedName name="solver_lhs2" localSheetId="7" hidden="1">PSAT!$B$8</definedName>
    <definedName name="solver_lhs2" localSheetId="2" hidden="1">SepOpt!$B$11</definedName>
    <definedName name="solver_lhs3" localSheetId="6" hidden="1">PK!#REF!</definedName>
    <definedName name="solver_lhs3" localSheetId="7" hidden="1">PSAT!#REF!</definedName>
    <definedName name="solver_lhs3" localSheetId="2" hidden="1">SepOpt!$B$12</definedName>
    <definedName name="solver_lhs4" localSheetId="6" hidden="1">PK!#REF!</definedName>
    <definedName name="solver_lhs4" localSheetId="7" hidden="1">PSAT!#REF!</definedName>
    <definedName name="solver_lhs4" localSheetId="2" hidden="1">SepOpt!$B$12</definedName>
    <definedName name="solver_lhs5" localSheetId="6" hidden="1">PK!#REF!</definedName>
    <definedName name="solver_lhs5" localSheetId="7" hidden="1">PSAT!#REF!</definedName>
    <definedName name="solver_lhs5" localSheetId="2" hidden="1">SepOpt!$E$11</definedName>
    <definedName name="solver_lhs6" localSheetId="2" hidden="1">SepOpt!$E$12</definedName>
    <definedName name="solver_mip" localSheetId="3" hidden="1">2147483647</definedName>
    <definedName name="solver_mip" localSheetId="4" hidden="1">2147483647</definedName>
    <definedName name="solver_mip" localSheetId="6" hidden="1">2147483647</definedName>
    <definedName name="solver_mip" localSheetId="7" hidden="1">2147483647</definedName>
    <definedName name="solver_mip" localSheetId="2" hidden="1">2147483647</definedName>
    <definedName name="solver_mni" localSheetId="3" hidden="1">30</definedName>
    <definedName name="solver_mni" localSheetId="4" hidden="1">30</definedName>
    <definedName name="solver_mni" localSheetId="6" hidden="1">30</definedName>
    <definedName name="solver_mni" localSheetId="7" hidden="1">30</definedName>
    <definedName name="solver_mni" localSheetId="2" hidden="1">30</definedName>
    <definedName name="solver_mrt" localSheetId="3" hidden="1">0.075</definedName>
    <definedName name="solver_mrt" localSheetId="4" hidden="1">0.075</definedName>
    <definedName name="solver_mrt" localSheetId="6" hidden="1">0.075</definedName>
    <definedName name="solver_mrt" localSheetId="7" hidden="1">0.075</definedName>
    <definedName name="solver_mrt" localSheetId="2" hidden="1">0.075</definedName>
    <definedName name="solver_msl" localSheetId="3" hidden="1">2</definedName>
    <definedName name="solver_msl" localSheetId="4" hidden="1">2</definedName>
    <definedName name="solver_msl" localSheetId="6" hidden="1">2</definedName>
    <definedName name="solver_msl" localSheetId="7" hidden="1">2</definedName>
    <definedName name="solver_msl" localSheetId="2" hidden="1">2</definedName>
    <definedName name="solver_neg" localSheetId="3" hidden="1">1</definedName>
    <definedName name="solver_neg" localSheetId="4" hidden="1">1</definedName>
    <definedName name="solver_neg" localSheetId="6" hidden="1">1</definedName>
    <definedName name="solver_neg" localSheetId="7" hidden="1">1</definedName>
    <definedName name="solver_neg" localSheetId="2" hidden="1">1</definedName>
    <definedName name="solver_nod" localSheetId="3" hidden="1">2147483647</definedName>
    <definedName name="solver_nod" localSheetId="4" hidden="1">2147483647</definedName>
    <definedName name="solver_nod" localSheetId="6" hidden="1">2147483647</definedName>
    <definedName name="solver_nod" localSheetId="7" hidden="1">2147483647</definedName>
    <definedName name="solver_nod" localSheetId="2" hidden="1">2147483647</definedName>
    <definedName name="solver_num" localSheetId="3" hidden="1">2</definedName>
    <definedName name="solver_num" localSheetId="4" hidden="1">2</definedName>
    <definedName name="solver_num" localSheetId="6" hidden="1">1</definedName>
    <definedName name="solver_num" localSheetId="7" hidden="1">2</definedName>
    <definedName name="solver_num" localSheetId="2" hidden="1">6</definedName>
    <definedName name="solver_nwt" localSheetId="3" hidden="1">1</definedName>
    <definedName name="solver_nwt" localSheetId="4" hidden="1">1</definedName>
    <definedName name="solver_nwt" localSheetId="6" hidden="1">1</definedName>
    <definedName name="solver_nwt" localSheetId="7" hidden="1">1</definedName>
    <definedName name="solver_nwt" localSheetId="2" hidden="1">1</definedName>
    <definedName name="solver_opt" localSheetId="3" hidden="1">'Flash-1'!$G$20</definedName>
    <definedName name="solver_opt" localSheetId="4" hidden="1">'Flash-2'!$G$20</definedName>
    <definedName name="solver_opt" localSheetId="6" hidden="1">PK!$E$22</definedName>
    <definedName name="solver_opt" localSheetId="7" hidden="1">PSAT!$E$22</definedName>
    <definedName name="solver_opt" localSheetId="2" hidden="1">SepOpt!$B$21</definedName>
    <definedName name="solver_pre" localSheetId="3" hidden="1">0.000001</definedName>
    <definedName name="solver_pre" localSheetId="4" hidden="1">0.000001</definedName>
    <definedName name="solver_pre" localSheetId="6" hidden="1">0.0000000001</definedName>
    <definedName name="solver_pre" localSheetId="7" hidden="1">0.0000000001</definedName>
    <definedName name="solver_pre" localSheetId="2" hidden="1">0.000001</definedName>
    <definedName name="solver_rbv" localSheetId="3" hidden="1">1</definedName>
    <definedName name="solver_rbv" localSheetId="4" hidden="1">1</definedName>
    <definedName name="solver_rbv" localSheetId="6" hidden="1">1</definedName>
    <definedName name="solver_rbv" localSheetId="7" hidden="1">1</definedName>
    <definedName name="solver_rbv" localSheetId="2" hidden="1">2</definedName>
    <definedName name="solver_rel1" localSheetId="3" hidden="1">1</definedName>
    <definedName name="solver_rel1" localSheetId="4" hidden="1">1</definedName>
    <definedName name="solver_rel1" localSheetId="6" hidden="1">3</definedName>
    <definedName name="solver_rel1" localSheetId="7" hidden="1">1</definedName>
    <definedName name="solver_rel1" localSheetId="2" hidden="1">1</definedName>
    <definedName name="solver_rel2" localSheetId="3" hidden="1">3</definedName>
    <definedName name="solver_rel2" localSheetId="4" hidden="1">3</definedName>
    <definedName name="solver_rel2" localSheetId="6" hidden="1">3</definedName>
    <definedName name="solver_rel2" localSheetId="7" hidden="1">3</definedName>
    <definedName name="solver_rel2" localSheetId="2" hidden="1">3</definedName>
    <definedName name="solver_rel3" localSheetId="6" hidden="1">3</definedName>
    <definedName name="solver_rel3" localSheetId="7" hidden="1">3</definedName>
    <definedName name="solver_rel3" localSheetId="2" hidden="1">1</definedName>
    <definedName name="solver_rel4" localSheetId="6" hidden="1">3</definedName>
    <definedName name="solver_rel4" localSheetId="7" hidden="1">3</definedName>
    <definedName name="solver_rel4" localSheetId="2" hidden="1">3</definedName>
    <definedName name="solver_rel5" localSheetId="6" hidden="1">3</definedName>
    <definedName name="solver_rel5" localSheetId="7" hidden="1">3</definedName>
    <definedName name="solver_rel5" localSheetId="2" hidden="1">2</definedName>
    <definedName name="solver_rel6" localSheetId="2" hidden="1">2</definedName>
    <definedName name="solver_rhs1" localSheetId="3" hidden="1">'Flash-1'!$B$15*0.9999999</definedName>
    <definedName name="solver_rhs1" localSheetId="4" hidden="1">'Flash-2'!$B$15*0.9999999</definedName>
    <definedName name="solver_rhs1" localSheetId="6" hidden="1">PK!$B$17</definedName>
    <definedName name="solver_rhs1" localSheetId="7" hidden="1">PSAT!$B$16</definedName>
    <definedName name="solver_rhs1" localSheetId="2" hidden="1">SepOpt!$D$11</definedName>
    <definedName name="solver_rhs2" localSheetId="3" hidden="1">'Flash-1'!$B$14*1.000001</definedName>
    <definedName name="solver_rhs2" localSheetId="4" hidden="1">'Flash-2'!$B$14*1.000001</definedName>
    <definedName name="solver_rhs2" localSheetId="6" hidden="1">PK!$B$17</definedName>
    <definedName name="solver_rhs2" localSheetId="7" hidden="1">1</definedName>
    <definedName name="solver_rhs2" localSheetId="2" hidden="1">SepOpt!$C$11</definedName>
    <definedName name="solver_rhs3" localSheetId="6" hidden="1">1</definedName>
    <definedName name="solver_rhs3" localSheetId="7" hidden="1">1</definedName>
    <definedName name="solver_rhs3" localSheetId="2" hidden="1">SepOpt!$D$12</definedName>
    <definedName name="solver_rhs4" localSheetId="6" hidden="1">1</definedName>
    <definedName name="solver_rhs4" localSheetId="7" hidden="1">1</definedName>
    <definedName name="solver_rhs4" localSheetId="2" hidden="1">SepOpt!$C$12</definedName>
    <definedName name="solver_rhs5" localSheetId="6" hidden="1">1</definedName>
    <definedName name="solver_rhs5" localSheetId="7" hidden="1">1</definedName>
    <definedName name="solver_rhs5" localSheetId="2" hidden="1">0</definedName>
    <definedName name="solver_rhs6" localSheetId="2" hidden="1">0</definedName>
    <definedName name="solver_rlx" localSheetId="3" hidden="1">2</definedName>
    <definedName name="solver_rlx" localSheetId="4" hidden="1">2</definedName>
    <definedName name="solver_rlx" localSheetId="6" hidden="1">2</definedName>
    <definedName name="solver_rlx" localSheetId="7" hidden="1">2</definedName>
    <definedName name="solver_rlx" localSheetId="2" hidden="1">2</definedName>
    <definedName name="solver_rsd" localSheetId="3" hidden="1">0</definedName>
    <definedName name="solver_rsd" localSheetId="4" hidden="1">0</definedName>
    <definedName name="solver_rsd" localSheetId="6" hidden="1">0</definedName>
    <definedName name="solver_rsd" localSheetId="7" hidden="1">0</definedName>
    <definedName name="solver_rsd" localSheetId="2" hidden="1">0</definedName>
    <definedName name="solver_scl" localSheetId="3" hidden="1">1</definedName>
    <definedName name="solver_scl" localSheetId="4" hidden="1">1</definedName>
    <definedName name="solver_scl" localSheetId="6" hidden="1">1</definedName>
    <definedName name="solver_scl" localSheetId="7" hidden="1">1</definedName>
    <definedName name="solver_scl" localSheetId="2" hidden="1">2</definedName>
    <definedName name="solver_sho" localSheetId="3" hidden="1">2</definedName>
    <definedName name="solver_sho" localSheetId="4" hidden="1">2</definedName>
    <definedName name="solver_sho" localSheetId="6" hidden="1">2</definedName>
    <definedName name="solver_sho" localSheetId="7" hidden="1">2</definedName>
    <definedName name="solver_sho" localSheetId="2" hidden="1">2</definedName>
    <definedName name="solver_ssz" localSheetId="3" hidden="1">100</definedName>
    <definedName name="solver_ssz" localSheetId="4" hidden="1">100</definedName>
    <definedName name="solver_ssz" localSheetId="6" hidden="1">100</definedName>
    <definedName name="solver_ssz" localSheetId="7" hidden="1">10</definedName>
    <definedName name="solver_ssz" localSheetId="2" hidden="1">100</definedName>
    <definedName name="solver_tim" localSheetId="3" hidden="1">2147483647</definedName>
    <definedName name="solver_tim" localSheetId="4" hidden="1">2147483647</definedName>
    <definedName name="solver_tim" localSheetId="6" hidden="1">2147483647</definedName>
    <definedName name="solver_tim" localSheetId="7" hidden="1">2147483647</definedName>
    <definedName name="solver_tim" localSheetId="2" hidden="1">2147483647</definedName>
    <definedName name="solver_tol" localSheetId="3" hidden="1">0.01</definedName>
    <definedName name="solver_tol" localSheetId="4" hidden="1">0.01</definedName>
    <definedName name="solver_tol" localSheetId="6" hidden="1">0.01</definedName>
    <definedName name="solver_tol" localSheetId="7" hidden="1">0.01</definedName>
    <definedName name="solver_tol" localSheetId="2" hidden="1">0.01</definedName>
    <definedName name="solver_typ" localSheetId="3" hidden="1">3</definedName>
    <definedName name="solver_typ" localSheetId="4" hidden="1">3</definedName>
    <definedName name="solver_typ" localSheetId="6" hidden="1">3</definedName>
    <definedName name="solver_typ" localSheetId="7" hidden="1">3</definedName>
    <definedName name="solver_typ" localSheetId="2" hidden="1">1</definedName>
    <definedName name="solver_val" localSheetId="3" hidden="1">0</definedName>
    <definedName name="solver_val" localSheetId="4" hidden="1">0</definedName>
    <definedName name="solver_val" localSheetId="6" hidden="1">0</definedName>
    <definedName name="solver_val" localSheetId="7" hidden="1">0</definedName>
    <definedName name="solver_val" localSheetId="2" hidden="1">0</definedName>
    <definedName name="solver_ver" localSheetId="3" hidden="1">3</definedName>
    <definedName name="solver_ver" localSheetId="4" hidden="1">3</definedName>
    <definedName name="solver_ver" localSheetId="6" hidden="1">3</definedName>
    <definedName name="solver_ver" localSheetId="7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9" l="1"/>
  <c r="E26" i="9"/>
  <c r="E27" i="9"/>
  <c r="E28" i="9"/>
  <c r="E29" i="9"/>
  <c r="E30" i="9"/>
  <c r="E31" i="9"/>
  <c r="B16" i="8"/>
  <c r="B16" i="3"/>
  <c r="D12" i="9"/>
  <c r="C12" i="9"/>
  <c r="B15" i="9"/>
  <c r="B8" i="3"/>
  <c r="B7" i="3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B10" i="8"/>
  <c r="B9" i="8"/>
  <c r="B11" i="8" l="1"/>
  <c r="B13" i="8"/>
  <c r="E32" i="8" s="1"/>
  <c r="B10" i="3"/>
  <c r="F32" i="8" l="1"/>
  <c r="E26" i="8"/>
  <c r="E27" i="8"/>
  <c r="E28" i="8"/>
  <c r="E30" i="8"/>
  <c r="E31" i="8"/>
  <c r="E37" i="8"/>
  <c r="E33" i="8"/>
  <c r="E29" i="8"/>
  <c r="E25" i="8"/>
  <c r="E24" i="8"/>
  <c r="E35" i="8"/>
  <c r="E36" i="8"/>
  <c r="E34" i="8"/>
  <c r="D35" i="3"/>
  <c r="D36" i="3"/>
  <c r="D37" i="3"/>
  <c r="C35" i="3"/>
  <c r="C36" i="3"/>
  <c r="C37" i="3"/>
  <c r="D38" i="7"/>
  <c r="D39" i="7"/>
  <c r="D40" i="7"/>
  <c r="C38" i="7"/>
  <c r="C39" i="7"/>
  <c r="C40" i="7"/>
  <c r="D38" i="5"/>
  <c r="D39" i="5"/>
  <c r="D40" i="5"/>
  <c r="C38" i="5"/>
  <c r="C39" i="5"/>
  <c r="C40" i="5"/>
  <c r="B8" i="5"/>
  <c r="B7" i="7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F36" i="8" l="1"/>
  <c r="F29" i="8"/>
  <c r="F30" i="8"/>
  <c r="F24" i="8"/>
  <c r="B15" i="8"/>
  <c r="B14" i="8"/>
  <c r="F37" i="8"/>
  <c r="F27" i="8"/>
  <c r="F34" i="8"/>
  <c r="F25" i="8"/>
  <c r="F31" i="8"/>
  <c r="F26" i="8"/>
  <c r="F35" i="8"/>
  <c r="F33" i="8"/>
  <c r="F28" i="8"/>
  <c r="B42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B17" i="7"/>
  <c r="B15" i="7"/>
  <c r="B13" i="7"/>
  <c r="B16" i="5"/>
  <c r="D28" i="5"/>
  <c r="D29" i="5"/>
  <c r="D30" i="5"/>
  <c r="D31" i="5"/>
  <c r="D32" i="5"/>
  <c r="D33" i="5"/>
  <c r="D34" i="5"/>
  <c r="D35" i="5"/>
  <c r="D36" i="5"/>
  <c r="D27" i="5"/>
  <c r="B18" i="5"/>
  <c r="B14" i="5"/>
  <c r="E40" i="7" l="1"/>
  <c r="G40" i="7" s="1"/>
  <c r="E38" i="7"/>
  <c r="E39" i="7"/>
  <c r="E38" i="5"/>
  <c r="G38" i="5" s="1"/>
  <c r="E27" i="5"/>
  <c r="E37" i="5"/>
  <c r="E28" i="5"/>
  <c r="E40" i="5"/>
  <c r="E39" i="5"/>
  <c r="D36" i="7"/>
  <c r="E35" i="7"/>
  <c r="G35" i="7" s="1"/>
  <c r="E28" i="7"/>
  <c r="E32" i="7"/>
  <c r="E36" i="7"/>
  <c r="E29" i="7"/>
  <c r="E33" i="7"/>
  <c r="E30" i="7"/>
  <c r="E34" i="7"/>
  <c r="E27" i="7"/>
  <c r="E31" i="7"/>
  <c r="F40" i="7" l="1"/>
  <c r="F38" i="5"/>
  <c r="F38" i="7"/>
  <c r="G38" i="7"/>
  <c r="F35" i="7"/>
  <c r="G33" i="7"/>
  <c r="F33" i="7"/>
  <c r="G28" i="7"/>
  <c r="F28" i="7"/>
  <c r="G32" i="7"/>
  <c r="F32" i="7"/>
  <c r="F34" i="7"/>
  <c r="G34" i="7"/>
  <c r="G29" i="7"/>
  <c r="F29" i="7"/>
  <c r="G27" i="7"/>
  <c r="F27" i="7"/>
  <c r="G31" i="7"/>
  <c r="F31" i="7"/>
  <c r="F30" i="7"/>
  <c r="G30" i="7"/>
  <c r="G36" i="7"/>
  <c r="F36" i="7"/>
  <c r="B42" i="5"/>
  <c r="C36" i="5"/>
  <c r="C35" i="5"/>
  <c r="C34" i="5"/>
  <c r="C33" i="5"/>
  <c r="C32" i="5"/>
  <c r="C31" i="5"/>
  <c r="C30" i="5"/>
  <c r="C29" i="5"/>
  <c r="C28" i="5"/>
  <c r="C27" i="5"/>
  <c r="E35" i="5" l="1"/>
  <c r="G35" i="5" s="1"/>
  <c r="E32" i="5"/>
  <c r="E36" i="5"/>
  <c r="E30" i="5"/>
  <c r="E34" i="5"/>
  <c r="E29" i="5"/>
  <c r="E33" i="5"/>
  <c r="E31" i="5"/>
  <c r="B39" i="3"/>
  <c r="D25" i="3"/>
  <c r="D26" i="3"/>
  <c r="D27" i="3"/>
  <c r="D28" i="3"/>
  <c r="D29" i="3"/>
  <c r="D30" i="3"/>
  <c r="D31" i="3"/>
  <c r="D32" i="3"/>
  <c r="D33" i="3"/>
  <c r="D24" i="3"/>
  <c r="C25" i="3"/>
  <c r="C26" i="3"/>
  <c r="C27" i="3"/>
  <c r="C28" i="3"/>
  <c r="C29" i="3"/>
  <c r="C30" i="3"/>
  <c r="C31" i="3"/>
  <c r="C32" i="3"/>
  <c r="C33" i="3"/>
  <c r="C24" i="3"/>
  <c r="B13" i="3"/>
  <c r="B11" i="3"/>
  <c r="B9" i="3"/>
  <c r="K19" i="1"/>
  <c r="K20" i="1"/>
  <c r="K21" i="1"/>
  <c r="K22" i="1"/>
  <c r="K23" i="1"/>
  <c r="K24" i="1"/>
  <c r="K25" i="1"/>
  <c r="K26" i="1"/>
  <c r="K27" i="1"/>
  <c r="K18" i="1"/>
  <c r="J19" i="1"/>
  <c r="J20" i="1"/>
  <c r="J21" i="1"/>
  <c r="J22" i="1"/>
  <c r="J23" i="1"/>
  <c r="J24" i="1"/>
  <c r="J25" i="1"/>
  <c r="J26" i="1"/>
  <c r="J27" i="1"/>
  <c r="J18" i="1"/>
  <c r="I19" i="1"/>
  <c r="I20" i="1"/>
  <c r="I21" i="1"/>
  <c r="I22" i="1"/>
  <c r="I23" i="1"/>
  <c r="I24" i="1"/>
  <c r="I25" i="1"/>
  <c r="I26" i="1"/>
  <c r="I27" i="1"/>
  <c r="I18" i="1"/>
  <c r="H19" i="1"/>
  <c r="H20" i="1"/>
  <c r="H21" i="1"/>
  <c r="H22" i="1"/>
  <c r="H23" i="1"/>
  <c r="H24" i="1"/>
  <c r="H25" i="1"/>
  <c r="H26" i="1"/>
  <c r="H27" i="1"/>
  <c r="H18" i="1"/>
  <c r="G19" i="1"/>
  <c r="G20" i="1"/>
  <c r="G21" i="1"/>
  <c r="G22" i="1"/>
  <c r="G23" i="1"/>
  <c r="G24" i="1"/>
  <c r="G25" i="1"/>
  <c r="G26" i="1"/>
  <c r="G27" i="1"/>
  <c r="G18" i="1"/>
  <c r="E27" i="3" l="1"/>
  <c r="F27" i="3" s="1"/>
  <c r="G27" i="3" s="1"/>
  <c r="E35" i="3"/>
  <c r="E37" i="3"/>
  <c r="E36" i="3"/>
  <c r="G40" i="5"/>
  <c r="F35" i="5"/>
  <c r="G27" i="5"/>
  <c r="F27" i="5"/>
  <c r="G32" i="5"/>
  <c r="F32" i="5"/>
  <c r="G34" i="5"/>
  <c r="F34" i="5"/>
  <c r="G28" i="5"/>
  <c r="F28" i="5"/>
  <c r="G33" i="5"/>
  <c r="F33" i="5"/>
  <c r="G30" i="5"/>
  <c r="F30" i="5"/>
  <c r="G31" i="5"/>
  <c r="F31" i="5"/>
  <c r="G29" i="5"/>
  <c r="F29" i="5"/>
  <c r="G36" i="5"/>
  <c r="F36" i="5"/>
  <c r="E28" i="3"/>
  <c r="E30" i="3"/>
  <c r="E26" i="3"/>
  <c r="E31" i="3"/>
  <c r="E32" i="3"/>
  <c r="E33" i="3"/>
  <c r="E29" i="3"/>
  <c r="E25" i="3"/>
  <c r="E24" i="3"/>
  <c r="I27" i="3" l="1"/>
  <c r="H27" i="3" s="1"/>
  <c r="I35" i="3"/>
  <c r="F35" i="3"/>
  <c r="G35" i="3" s="1"/>
  <c r="F40" i="5"/>
  <c r="F37" i="3"/>
  <c r="G37" i="3" s="1"/>
  <c r="I37" i="3"/>
  <c r="F28" i="3"/>
  <c r="G28" i="3" s="1"/>
  <c r="I28" i="3"/>
  <c r="F31" i="3"/>
  <c r="G31" i="3" s="1"/>
  <c r="I31" i="3"/>
  <c r="F29" i="3"/>
  <c r="G29" i="3" s="1"/>
  <c r="I29" i="3"/>
  <c r="F26" i="3"/>
  <c r="G26" i="3" s="1"/>
  <c r="I26" i="3"/>
  <c r="F33" i="3"/>
  <c r="G33" i="3" s="1"/>
  <c r="I33" i="3"/>
  <c r="F30" i="3"/>
  <c r="G30" i="3" s="1"/>
  <c r="I30" i="3"/>
  <c r="F25" i="3"/>
  <c r="G25" i="3" s="1"/>
  <c r="I25" i="3"/>
  <c r="F24" i="3"/>
  <c r="G24" i="3" s="1"/>
  <c r="I24" i="3"/>
  <c r="B24" i="8" s="1"/>
  <c r="F32" i="3"/>
  <c r="G32" i="3" s="1"/>
  <c r="I32" i="3"/>
  <c r="B27" i="8" l="1"/>
  <c r="I27" i="8" s="1"/>
  <c r="H30" i="3"/>
  <c r="B30" i="8"/>
  <c r="H31" i="3"/>
  <c r="B31" i="8"/>
  <c r="H35" i="3"/>
  <c r="B35" i="8"/>
  <c r="I24" i="8"/>
  <c r="J24" i="8" s="1"/>
  <c r="G24" i="8"/>
  <c r="H26" i="3"/>
  <c r="B26" i="8"/>
  <c r="H37" i="3"/>
  <c r="B37" i="8"/>
  <c r="H32" i="3"/>
  <c r="B32" i="8"/>
  <c r="H25" i="3"/>
  <c r="B25" i="8"/>
  <c r="H33" i="3"/>
  <c r="B33" i="8"/>
  <c r="H29" i="3"/>
  <c r="B29" i="8"/>
  <c r="H28" i="3"/>
  <c r="B28" i="8"/>
  <c r="H24" i="3"/>
  <c r="F28" i="1"/>
  <c r="E28" i="1"/>
  <c r="C28" i="1"/>
  <c r="B28" i="1"/>
  <c r="D28" i="1"/>
  <c r="G27" i="8" l="1"/>
  <c r="H27" i="8"/>
  <c r="J27" i="8"/>
  <c r="K27" i="8" s="1"/>
  <c r="K24" i="8"/>
  <c r="I29" i="8"/>
  <c r="G29" i="8"/>
  <c r="I37" i="8"/>
  <c r="G37" i="8"/>
  <c r="H24" i="8"/>
  <c r="I30" i="8"/>
  <c r="G30" i="8"/>
  <c r="I31" i="8"/>
  <c r="G31" i="8"/>
  <c r="I25" i="8"/>
  <c r="G25" i="8"/>
  <c r="I35" i="8"/>
  <c r="G35" i="8"/>
  <c r="I28" i="8"/>
  <c r="G28" i="8"/>
  <c r="I33" i="8"/>
  <c r="G33" i="8"/>
  <c r="I32" i="8"/>
  <c r="G32" i="8"/>
  <c r="I26" i="8"/>
  <c r="G26" i="8"/>
  <c r="C37" i="5"/>
  <c r="D34" i="3"/>
  <c r="C34" i="3"/>
  <c r="D37" i="7"/>
  <c r="C37" i="7"/>
  <c r="D37" i="5"/>
  <c r="H31" i="8" l="1"/>
  <c r="J31" i="8"/>
  <c r="K31" i="8" s="1"/>
  <c r="H26" i="8"/>
  <c r="J26" i="8"/>
  <c r="K26" i="8" s="1"/>
  <c r="H32" i="8"/>
  <c r="J32" i="8"/>
  <c r="K32" i="8" s="1"/>
  <c r="H28" i="8"/>
  <c r="J28" i="8"/>
  <c r="K28" i="8" s="1"/>
  <c r="H25" i="8"/>
  <c r="J25" i="8"/>
  <c r="H30" i="8"/>
  <c r="J30" i="8"/>
  <c r="K30" i="8" s="1"/>
  <c r="H33" i="8"/>
  <c r="J33" i="8"/>
  <c r="K33" i="8" s="1"/>
  <c r="H35" i="8"/>
  <c r="J35" i="8"/>
  <c r="K35" i="8" s="1"/>
  <c r="H37" i="8"/>
  <c r="J37" i="8"/>
  <c r="K37" i="8" s="1"/>
  <c r="H29" i="8"/>
  <c r="J29" i="8"/>
  <c r="K29" i="8" s="1"/>
  <c r="E34" i="3"/>
  <c r="I34" i="3" s="1"/>
  <c r="B34" i="8" s="1"/>
  <c r="E37" i="7"/>
  <c r="G37" i="7" s="1"/>
  <c r="I36" i="3"/>
  <c r="F36" i="3"/>
  <c r="G36" i="3" s="1"/>
  <c r="G39" i="7"/>
  <c r="F39" i="7"/>
  <c r="G39" i="5"/>
  <c r="F39" i="5"/>
  <c r="G37" i="5"/>
  <c r="G42" i="5" s="1"/>
  <c r="G22" i="5" s="1"/>
  <c r="F37" i="5"/>
  <c r="B15" i="3" l="1"/>
  <c r="D11" i="9" s="1"/>
  <c r="B14" i="3"/>
  <c r="C11" i="9" s="1"/>
  <c r="K25" i="8"/>
  <c r="F34" i="3"/>
  <c r="G34" i="3" s="1"/>
  <c r="G20" i="3" s="1"/>
  <c r="E11" i="9" s="1"/>
  <c r="I34" i="8"/>
  <c r="J34" i="8" s="1"/>
  <c r="K34" i="8" s="1"/>
  <c r="G34" i="8"/>
  <c r="H36" i="3"/>
  <c r="B36" i="8"/>
  <c r="B39" i="8" s="1"/>
  <c r="G42" i="7"/>
  <c r="G22" i="7" s="1"/>
  <c r="F37" i="7"/>
  <c r="F42" i="7" s="1"/>
  <c r="F22" i="7" s="1"/>
  <c r="F42" i="5"/>
  <c r="F22" i="5" s="1"/>
  <c r="B11" i="5" s="1"/>
  <c r="B12" i="5" s="1"/>
  <c r="I39" i="3"/>
  <c r="H34" i="3"/>
  <c r="H39" i="3" l="1"/>
  <c r="I36" i="8"/>
  <c r="G36" i="8"/>
  <c r="G20" i="8" s="1"/>
  <c r="E12" i="9" s="1"/>
  <c r="E13" i="9" s="1"/>
  <c r="H34" i="8"/>
  <c r="E22" i="7"/>
  <c r="B10" i="7"/>
  <c r="E22" i="5"/>
  <c r="H36" i="8" l="1"/>
  <c r="H39" i="8" s="1"/>
  <c r="J36" i="8"/>
  <c r="I39" i="8"/>
  <c r="K36" i="8" l="1"/>
  <c r="K39" i="8" s="1"/>
  <c r="J39" i="8"/>
  <c r="K40" i="8" l="1"/>
  <c r="B17" i="9" s="1"/>
  <c r="B19" i="9" s="1"/>
  <c r="B20" i="9" s="1"/>
  <c r="J40" i="8"/>
  <c r="B21" i="9" l="1"/>
  <c r="B16" i="9"/>
  <c r="B18" i="9" s="1"/>
</calcChain>
</file>

<file path=xl/sharedStrings.xml><?xml version="1.0" encoding="utf-8"?>
<sst xmlns="http://schemas.openxmlformats.org/spreadsheetml/2006/main" count="299" uniqueCount="126">
  <si>
    <t>p</t>
  </si>
  <si>
    <t>bara</t>
  </si>
  <si>
    <t>T</t>
  </si>
  <si>
    <t>C</t>
  </si>
  <si>
    <t>Curtis</t>
  </si>
  <si>
    <t>pK</t>
  </si>
  <si>
    <t>psia</t>
  </si>
  <si>
    <t>Main Input</t>
  </si>
  <si>
    <t>Comp. Name</t>
  </si>
  <si>
    <t>MW</t>
  </si>
  <si>
    <t>Tc</t>
  </si>
  <si>
    <t>K</t>
  </si>
  <si>
    <t>Acentric</t>
  </si>
  <si>
    <t>Factor</t>
  </si>
  <si>
    <t>--</t>
  </si>
  <si>
    <t>N2</t>
  </si>
  <si>
    <t>CO2</t>
  </si>
  <si>
    <t>C1</t>
  </si>
  <si>
    <t>C2</t>
  </si>
  <si>
    <t>C3</t>
  </si>
  <si>
    <t>i-C4</t>
  </si>
  <si>
    <t>n-C4</t>
  </si>
  <si>
    <t>i-C5</t>
  </si>
  <si>
    <t>n-C5</t>
  </si>
  <si>
    <t>C6s</t>
  </si>
  <si>
    <t>C7+</t>
  </si>
  <si>
    <t>Gravity</t>
  </si>
  <si>
    <t>water=1</t>
  </si>
  <si>
    <t>H2S</t>
  </si>
  <si>
    <t>Liquid</t>
  </si>
  <si>
    <t>Density</t>
  </si>
  <si>
    <t>kg/m3</t>
  </si>
  <si>
    <t>STC</t>
  </si>
  <si>
    <t>typically 250-1000 bara</t>
  </si>
  <si>
    <t>must be &lt;= pK</t>
  </si>
  <si>
    <t>pc</t>
  </si>
  <si>
    <t>kg/kg-mole</t>
  </si>
  <si>
    <t>lb/lb-mole</t>
  </si>
  <si>
    <t>oR</t>
  </si>
  <si>
    <t>Flash Calculations at (p,T)</t>
  </si>
  <si>
    <t>zi</t>
  </si>
  <si>
    <t>Ki</t>
  </si>
  <si>
    <t>Feed Source</t>
  </si>
  <si>
    <t>Table 2.1 Gas Condensate</t>
  </si>
  <si>
    <t>A2</t>
  </si>
  <si>
    <t>A1</t>
  </si>
  <si>
    <t>Tri</t>
  </si>
  <si>
    <t>Pri</t>
  </si>
  <si>
    <t>ci</t>
  </si>
  <si>
    <t>Term i</t>
  </si>
  <si>
    <t>fv</t>
  </si>
  <si>
    <t>fvmin</t>
  </si>
  <si>
    <t>fvmax</t>
  </si>
  <si>
    <t>Sum</t>
  </si>
  <si>
    <t>Target=0</t>
  </si>
  <si>
    <t>Variable</t>
  </si>
  <si>
    <t>yi</t>
  </si>
  <si>
    <t>xi</t>
  </si>
  <si>
    <t>Sat. Type</t>
  </si>
  <si>
    <t>fvsat</t>
  </si>
  <si>
    <t>BP</t>
  </si>
  <si>
    <t>yi=ziKi</t>
  </si>
  <si>
    <t>DP</t>
  </si>
  <si>
    <t>xi=zi/Ki</t>
  </si>
  <si>
    <t>hBP</t>
  </si>
  <si>
    <t>hDP</t>
  </si>
  <si>
    <t>H=hBP * hDP</t>
  </si>
  <si>
    <t>Sat. Type (lab)</t>
  </si>
  <si>
    <t>psat, calc</t>
  </si>
  <si>
    <t>psat, lab</t>
  </si>
  <si>
    <t>(a) Find lower constraint on pk,min</t>
  </si>
  <si>
    <t>psat,max</t>
  </si>
  <si>
    <t>pk,min</t>
  </si>
  <si>
    <t>TPG4145 Find Convergence Pressure to Match Saturation Pressure at T</t>
  </si>
  <si>
    <t>- Move solved pk to pk,min (B13-&gt;B17)</t>
  </si>
  <si>
    <t xml:space="preserve">- Objective: minimize H (E22) </t>
  </si>
  <si>
    <t xml:space="preserve">- Objective: H=0 (E22) </t>
  </si>
  <si>
    <t>- Constraint: pk &gt;= psat, lab (B13&gt;=B8)</t>
  </si>
  <si>
    <t>- Constraint: pk &gt;= pk,min (B13&gt;=B17)</t>
  </si>
  <si>
    <t>TPG4145 Find Saturation Pressure at T Given Convergence Pressure</t>
  </si>
  <si>
    <t>Determine saturation pressure given convergence pressure</t>
  </si>
  <si>
    <t>(a) Find upper constraint psat,max</t>
  </si>
  <si>
    <t>(b). Find convergence pressure to match measured saturation pressure</t>
  </si>
  <si>
    <t>Determine convergence pressure to match lab saturation pressure</t>
  </si>
  <si>
    <t>(b). Find saturation pressure</t>
  </si>
  <si>
    <t>- Move solved psat,calc to psat,max (B8-&gt;B16)</t>
  </si>
  <si>
    <t>- Constraint: psat,calc&lt;= psat,max (B8&lt;=B16)</t>
  </si>
  <si>
    <t>- Variable: psat,calc (B8) | Set initially to 0.5*psat,max</t>
  </si>
  <si>
    <t>- Variable: pK (B13) | Set initially to psat,lab</t>
  </si>
  <si>
    <t>- Variable: pK (B13) | Set initially to pk,min</t>
  </si>
  <si>
    <t>F1</t>
  </si>
  <si>
    <t>F2</t>
  </si>
  <si>
    <t>F3</t>
  </si>
  <si>
    <r>
      <t>Component Properties Tables</t>
    </r>
    <r>
      <rPr>
        <sz val="11"/>
        <color theme="1"/>
        <rFont val="Calibri"/>
        <family val="2"/>
        <scheme val="minor"/>
      </rPr>
      <t xml:space="preserve"> (App. A and Table 5.2 and Problem 17 Appendix B)</t>
    </r>
  </si>
  <si>
    <t>- Constraints: psat,calc&lt;=pk (B8&lt;=B12) | psat,calc&gt;=1 bar (B8&gt;=1)</t>
  </si>
  <si>
    <t>- Variable: psat,calc (B8) | initial value = 2 bar (B8=2)</t>
  </si>
  <si>
    <t>TPG4145 Flash Example in Class - Problem 17 in App. B Monograph</t>
  </si>
  <si>
    <t>TPG4145 Flash Example in Class - Problem 17 in Monograph App. B</t>
  </si>
  <si>
    <t>Separator Optimization of a two-stage process using Psp1 and Tsp1 as control variables</t>
  </si>
  <si>
    <t>Tsp1</t>
  </si>
  <si>
    <t>Psp1</t>
  </si>
  <si>
    <t>STO moles</t>
  </si>
  <si>
    <t>STO volume</t>
  </si>
  <si>
    <t>Stage 1</t>
  </si>
  <si>
    <t>Stage 2</t>
  </si>
  <si>
    <t>MM-Sum</t>
  </si>
  <si>
    <t>total</t>
  </si>
  <si>
    <t>nsto</t>
  </si>
  <si>
    <t>T=30 C</t>
  </si>
  <si>
    <t>ssq drive to 0 (or minimize)</t>
  </si>
  <si>
    <t>mi=xi Mi</t>
  </si>
  <si>
    <t>Vi = mi / di</t>
  </si>
  <si>
    <t>Ideal</t>
  </si>
  <si>
    <t>MW STO=</t>
  </si>
  <si>
    <t>STO Density</t>
  </si>
  <si>
    <t>kg-moles</t>
  </si>
  <si>
    <t>m3</t>
  </si>
  <si>
    <t>STO MW</t>
  </si>
  <si>
    <t>STO API</t>
  </si>
  <si>
    <t>STO Gravity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</si>
  <si>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API</t>
    </r>
  </si>
  <si>
    <t>(M/d)sto</t>
  </si>
  <si>
    <t>MW / d</t>
  </si>
  <si>
    <t>m3/kg-mole</t>
  </si>
  <si>
    <t>kg-mole</t>
  </si>
  <si>
    <t>Vsto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</si>
</sst>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"/>
    <numFmt numFmtId="167" formatCode="0.0E+00"/>
    <numFmt numFmtId="168" formatCode="0.000E+00"/>
    <numFmt numFmtId="171" formatCode="0.0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3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166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166" fontId="1" fillId="0" borderId="0" xfId="0" applyNumberFormat="1" applyFont="1" applyBorder="1"/>
    <xf numFmtId="0" fontId="0" fillId="0" borderId="0" xfId="0" applyBorder="1"/>
    <xf numFmtId="164" fontId="1" fillId="0" borderId="0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165" fontId="1" fillId="0" borderId="0" xfId="0" applyNumberFormat="1" applyFont="1" applyBorder="1"/>
    <xf numFmtId="0" fontId="4" fillId="0" borderId="0" xfId="0" applyFont="1" applyBorder="1"/>
    <xf numFmtId="165" fontId="3" fillId="0" borderId="0" xfId="0" applyNumberFormat="1" applyFont="1"/>
    <xf numFmtId="2" fontId="3" fillId="0" borderId="0" xfId="0" applyNumberFormat="1" applyFont="1" applyBorder="1"/>
    <xf numFmtId="11" fontId="3" fillId="0" borderId="0" xfId="0" applyNumberFormat="1" applyFont="1" applyBorder="1"/>
    <xf numFmtId="0" fontId="3" fillId="0" borderId="0" xfId="0" applyFont="1" applyBorder="1"/>
    <xf numFmtId="166" fontId="3" fillId="0" borderId="0" xfId="0" applyNumberFormat="1" applyFont="1" applyBorder="1"/>
    <xf numFmtId="0" fontId="5" fillId="0" borderId="0" xfId="0" applyFont="1" applyBorder="1"/>
    <xf numFmtId="165" fontId="3" fillId="0" borderId="0" xfId="0" applyNumberFormat="1" applyFont="1" applyBorder="1"/>
    <xf numFmtId="0" fontId="6" fillId="0" borderId="0" xfId="0" applyFont="1"/>
    <xf numFmtId="166" fontId="6" fillId="0" borderId="0" xfId="0" applyNumberFormat="1" applyFont="1"/>
    <xf numFmtId="0" fontId="0" fillId="0" borderId="0" xfId="0" applyAlignment="1">
      <alignment horizontal="right"/>
    </xf>
    <xf numFmtId="1" fontId="6" fillId="0" borderId="0" xfId="0" applyNumberFormat="1" applyFont="1"/>
    <xf numFmtId="11" fontId="0" fillId="0" borderId="0" xfId="0" applyNumberFormat="1"/>
    <xf numFmtId="1" fontId="6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/>
    <xf numFmtId="11" fontId="6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0" fillId="0" borderId="0" xfId="0" quotePrefix="1"/>
    <xf numFmtId="164" fontId="7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164" fontId="1" fillId="0" borderId="0" xfId="0" applyNumberFormat="1" applyFont="1"/>
    <xf numFmtId="167" fontId="2" fillId="0" borderId="0" xfId="0" applyNumberFormat="1" applyFont="1"/>
    <xf numFmtId="2" fontId="8" fillId="0" borderId="0" xfId="0" applyNumberFormat="1" applyFont="1" applyBorder="1"/>
    <xf numFmtId="0" fontId="9" fillId="0" borderId="0" xfId="0" applyFont="1"/>
    <xf numFmtId="0" fontId="4" fillId="0" borderId="0" xfId="0" applyFont="1"/>
    <xf numFmtId="168" fontId="0" fillId="0" borderId="0" xfId="0" applyNumberFormat="1"/>
    <xf numFmtId="0" fontId="8" fillId="0" borderId="0" xfId="0" applyFont="1"/>
    <xf numFmtId="166" fontId="10" fillId="0" borderId="0" xfId="0" applyNumberFormat="1" applyFont="1"/>
    <xf numFmtId="165" fontId="10" fillId="0" borderId="0" xfId="0" applyNumberFormat="1" applyFont="1"/>
    <xf numFmtId="165" fontId="0" fillId="0" borderId="0" xfId="0" applyNumberFormat="1"/>
    <xf numFmtId="171" fontId="0" fillId="0" borderId="0" xfId="0" applyNumberFormat="1"/>
    <xf numFmtId="166" fontId="0" fillId="0" borderId="0" xfId="0" applyNumberFormat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SepOpt!$B$25:$B$31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SepOpt!$C$25:$C$31</c:f>
              <c:numCache>
                <c:formatCode>0.0000</c:formatCode>
                <c:ptCount val="7"/>
                <c:pt idx="0">
                  <c:v>0.33193529164121272</c:v>
                </c:pt>
                <c:pt idx="1">
                  <c:v>0.35744670734787815</c:v>
                </c:pt>
                <c:pt idx="2">
                  <c:v>0.3870707194936221</c:v>
                </c:pt>
                <c:pt idx="3">
                  <c:v>0.39858533058334772</c:v>
                </c:pt>
                <c:pt idx="4">
                  <c:v>0.39823684099799433</c:v>
                </c:pt>
                <c:pt idx="5">
                  <c:v>0.39368313285895756</c:v>
                </c:pt>
                <c:pt idx="6">
                  <c:v>0.38439617765716044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810120"/>
        <c:axId val="227806592"/>
      </c:scatterChart>
      <c:valAx>
        <c:axId val="227810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Primary Stage Separator Pressure, Psp1, bara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806592"/>
        <c:crosses val="autoZero"/>
        <c:crossBetween val="midCat"/>
      </c:valAx>
      <c:valAx>
        <c:axId val="227806592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Moles STO / Mole Wellstream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810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SepOpt!$B$25:$B$31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SepOpt!$E$25:$E$31</c:f>
              <c:numCache>
                <c:formatCode>0.00000</c:formatCode>
                <c:ptCount val="7"/>
                <c:pt idx="0">
                  <c:v>6.958024499417359E-2</c:v>
                </c:pt>
                <c:pt idx="1">
                  <c:v>7.2566426006504425E-2</c:v>
                </c:pt>
                <c:pt idx="2">
                  <c:v>7.5804397368661583E-2</c:v>
                </c:pt>
                <c:pt idx="3">
                  <c:v>7.7041339461348654E-2</c:v>
                </c:pt>
                <c:pt idx="4">
                  <c:v>7.702397674381592E-2</c:v>
                </c:pt>
                <c:pt idx="5">
                  <c:v>7.6552558306259913E-2</c:v>
                </c:pt>
                <c:pt idx="6">
                  <c:v>7.5572144450821749E-2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778624"/>
        <c:axId val="421786856"/>
      </c:scatterChart>
      <c:valAx>
        <c:axId val="42177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Primary Stage Separator Pressure, Psp1, bara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86856"/>
        <c:crosses val="autoZero"/>
        <c:crossBetween val="midCat"/>
      </c:valAx>
      <c:valAx>
        <c:axId val="421786856"/>
        <c:scaling>
          <c:orientation val="minMax"/>
          <c:max val="8.0000000000000016E-2"/>
          <c:min val="6.5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STO Volume / Mole Wellstream,</a:t>
                </a:r>
                <a:r>
                  <a:rPr lang="en-US" sz="1800" baseline="0"/>
                  <a:t> Sm3/kg-mole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8624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632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632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442018</xdr:colOff>
      <xdr:row>4</xdr:row>
      <xdr:rowOff>60943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90018" cy="792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158261</xdr:colOff>
      <xdr:row>3</xdr:row>
      <xdr:rowOff>155900</xdr:rowOff>
    </xdr:from>
    <xdr:to>
      <xdr:col>8</xdr:col>
      <xdr:colOff>146538</xdr:colOff>
      <xdr:row>7</xdr:row>
      <xdr:rowOff>123381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1" y="704540"/>
          <a:ext cx="4865077" cy="699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38100</xdr:rowOff>
    </xdr:from>
    <xdr:to>
      <xdr:col>7</xdr:col>
      <xdr:colOff>584319</xdr:colOff>
      <xdr:row>12</xdr:row>
      <xdr:rowOff>123800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020"/>
          <a:ext cx="4851519" cy="6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30480</xdr:rowOff>
    </xdr:from>
    <xdr:to>
      <xdr:col>8</xdr:col>
      <xdr:colOff>567523</xdr:colOff>
      <xdr:row>20</xdr:row>
      <xdr:rowOff>15212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7920"/>
          <a:ext cx="5444323" cy="1264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22860</xdr:colOff>
      <xdr:row>0</xdr:row>
      <xdr:rowOff>144780</xdr:rowOff>
    </xdr:from>
    <xdr:to>
      <xdr:col>18</xdr:col>
      <xdr:colOff>541020</xdr:colOff>
      <xdr:row>9</xdr:row>
      <xdr:rowOff>144780</xdr:rowOff>
    </xdr:to>
    <xdr:pic>
      <xdr:nvPicPr>
        <xdr:cNvPr id="6" name="Picture 5" descr="C:\Users\Curtis Hays Whitson\AppData\Local\Microsoft\Windows\INetCache\IE\UYL2IBFZ\JS06NO9D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260" y="144780"/>
          <a:ext cx="6004560" cy="164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60960</xdr:colOff>
      <xdr:row>10</xdr:row>
      <xdr:rowOff>91440</xdr:rowOff>
    </xdr:from>
    <xdr:to>
      <xdr:col>18</xdr:col>
      <xdr:colOff>480060</xdr:colOff>
      <xdr:row>16</xdr:row>
      <xdr:rowOff>144780</xdr:rowOff>
    </xdr:to>
    <xdr:pic>
      <xdr:nvPicPr>
        <xdr:cNvPr id="7" name="Picture 6" descr="C:\Users\Curtis Hays Whitson\AppData\Local\Microsoft\Windows\INetCache\IE\GBARPKCB\9WU5XIEK.gi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1920240"/>
          <a:ext cx="590550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115" zoomScaleNormal="115" workbookViewId="0">
      <selection activeCell="I19" sqref="I19"/>
    </sheetView>
  </sheetViews>
  <sheetFormatPr defaultRowHeight="14.4" x14ac:dyDescent="0.3"/>
  <cols>
    <col min="1" max="1" width="21.109375" customWidth="1"/>
    <col min="2" max="2" width="11" bestFit="1" customWidth="1"/>
    <col min="3" max="3" width="9.5546875" bestFit="1" customWidth="1"/>
    <col min="4" max="4" width="10.88671875" customWidth="1"/>
    <col min="5" max="5" width="10.21875" bestFit="1" customWidth="1"/>
  </cols>
  <sheetData>
    <row r="1" spans="1:6" x14ac:dyDescent="0.3">
      <c r="A1" s="4" t="s">
        <v>96</v>
      </c>
    </row>
    <row r="2" spans="1:6" x14ac:dyDescent="0.3">
      <c r="A2" t="s">
        <v>4</v>
      </c>
    </row>
    <row r="3" spans="1:6" x14ac:dyDescent="0.3">
      <c r="A3">
        <v>20180213</v>
      </c>
    </row>
    <row r="4" spans="1:6" x14ac:dyDescent="0.3">
      <c r="A4" s="47" t="s">
        <v>98</v>
      </c>
    </row>
    <row r="7" spans="1:6" x14ac:dyDescent="0.3">
      <c r="A7" t="s">
        <v>99</v>
      </c>
      <c r="B7" s="48">
        <v>30.000000000169827</v>
      </c>
      <c r="C7" t="s">
        <v>3</v>
      </c>
    </row>
    <row r="8" spans="1:6" x14ac:dyDescent="0.3">
      <c r="A8" t="s">
        <v>100</v>
      </c>
      <c r="B8" s="42">
        <v>13.857743947550551</v>
      </c>
      <c r="C8" t="s">
        <v>1</v>
      </c>
    </row>
    <row r="10" spans="1:6" x14ac:dyDescent="0.3">
      <c r="B10" s="5" t="s">
        <v>50</v>
      </c>
      <c r="C10" s="5" t="s">
        <v>51</v>
      </c>
      <c r="D10" s="5" t="s">
        <v>52</v>
      </c>
      <c r="E10" s="5" t="s">
        <v>105</v>
      </c>
    </row>
    <row r="11" spans="1:6" x14ac:dyDescent="0.3">
      <c r="A11" t="s">
        <v>103</v>
      </c>
      <c r="B11" s="51">
        <v>0.54241176405106695</v>
      </c>
      <c r="C11">
        <f>'Flash-1'!B14+0.0000000001</f>
        <v>-1.8128391906927527E-2</v>
      </c>
      <c r="D11">
        <f>'Flash-1'!B15-0.0000000001</f>
        <v>1.0000000005138194</v>
      </c>
      <c r="E11" s="49">
        <f>'Flash-1'!G20</f>
        <v>3.0378366489003383E-11</v>
      </c>
    </row>
    <row r="12" spans="1:6" x14ac:dyDescent="0.3">
      <c r="A12" t="s">
        <v>104</v>
      </c>
      <c r="B12" s="51">
        <v>0.12638565837439075</v>
      </c>
      <c r="C12">
        <f>'Flash-2'!B14+0.0000000001</f>
        <v>-1.279659720258696E-3</v>
      </c>
      <c r="D12">
        <f>'Flash-2'!B15-0.0000000001</f>
        <v>0.99999999998661027</v>
      </c>
      <c r="E12" s="49">
        <f>'Flash-2'!G20</f>
        <v>-3.730793451950376E-10</v>
      </c>
    </row>
    <row r="13" spans="1:6" x14ac:dyDescent="0.3">
      <c r="A13" t="s">
        <v>106</v>
      </c>
      <c r="E13" s="52">
        <f>(E11^2+E12^2)^0.5</f>
        <v>3.743140966644166E-10</v>
      </c>
      <c r="F13" t="s">
        <v>109</v>
      </c>
    </row>
    <row r="15" spans="1:6" x14ac:dyDescent="0.3">
      <c r="A15" t="s">
        <v>101</v>
      </c>
      <c r="B15" s="51">
        <f>(1-B11)*(1-B12)</f>
        <v>0.3997556454841511</v>
      </c>
      <c r="C15" t="s">
        <v>115</v>
      </c>
    </row>
    <row r="16" spans="1:6" x14ac:dyDescent="0.3">
      <c r="A16" t="s">
        <v>117</v>
      </c>
      <c r="B16" s="56">
        <f>'Flash-2'!J40</f>
        <v>153.71334485707388</v>
      </c>
      <c r="C16" t="s">
        <v>36</v>
      </c>
    </row>
    <row r="17" spans="1:6" x14ac:dyDescent="0.3">
      <c r="A17" t="s">
        <v>114</v>
      </c>
      <c r="B17" s="57">
        <f>'Flash-2'!K40</f>
        <v>796.22386692943849</v>
      </c>
      <c r="C17" t="s">
        <v>31</v>
      </c>
    </row>
    <row r="18" spans="1:6" x14ac:dyDescent="0.3">
      <c r="A18" t="s">
        <v>122</v>
      </c>
      <c r="B18" s="53">
        <f>B16/B17</f>
        <v>0.19305292297988347</v>
      </c>
      <c r="C18" t="s">
        <v>123</v>
      </c>
    </row>
    <row r="19" spans="1:6" x14ac:dyDescent="0.3">
      <c r="A19" t="s">
        <v>119</v>
      </c>
      <c r="B19" s="53">
        <f>B17/999.1</f>
        <v>0.7969411139319772</v>
      </c>
    </row>
    <row r="20" spans="1:6" ht="16.2" x14ac:dyDescent="0.3">
      <c r="A20" t="s">
        <v>118</v>
      </c>
      <c r="B20" s="56">
        <f>141.5/B19-131.5</f>
        <v>46.053896425122474</v>
      </c>
      <c r="C20" t="s">
        <v>120</v>
      </c>
    </row>
    <row r="21" spans="1:6" x14ac:dyDescent="0.3">
      <c r="A21" t="s">
        <v>102</v>
      </c>
      <c r="B21" s="54">
        <f>B15*'Flash-2'!J40/'Flash-2'!K40</f>
        <v>7.7173995838425422E-2</v>
      </c>
      <c r="C21" t="s">
        <v>116</v>
      </c>
    </row>
    <row r="22" spans="1:6" x14ac:dyDescent="0.3">
      <c r="B22" s="5"/>
      <c r="C22" s="5" t="s">
        <v>108</v>
      </c>
    </row>
    <row r="23" spans="1:6" x14ac:dyDescent="0.3">
      <c r="B23" s="5" t="s">
        <v>100</v>
      </c>
      <c r="C23" s="5" t="s">
        <v>107</v>
      </c>
      <c r="D23" s="5" t="s">
        <v>121</v>
      </c>
      <c r="E23" s="5" t="s">
        <v>125</v>
      </c>
      <c r="F23" s="5" t="s">
        <v>118</v>
      </c>
    </row>
    <row r="24" spans="1:6" x14ac:dyDescent="0.3">
      <c r="B24" s="5" t="s">
        <v>1</v>
      </c>
      <c r="C24" s="5" t="s">
        <v>124</v>
      </c>
      <c r="D24" t="s">
        <v>123</v>
      </c>
      <c r="E24" s="5" t="s">
        <v>116</v>
      </c>
    </row>
    <row r="25" spans="1:6" x14ac:dyDescent="0.3">
      <c r="B25">
        <v>1</v>
      </c>
      <c r="C25" s="55">
        <v>0.33193529164121272</v>
      </c>
      <c r="D25" s="53">
        <v>0.20961990709135728</v>
      </c>
      <c r="E25" s="54">
        <f t="shared" ref="E25:E30" si="0">C25*D25</f>
        <v>6.958024499417359E-2</v>
      </c>
      <c r="F25" s="56">
        <v>42.039646662622459</v>
      </c>
    </row>
    <row r="26" spans="1:6" x14ac:dyDescent="0.3">
      <c r="B26">
        <v>2</v>
      </c>
      <c r="C26" s="55">
        <v>0.35744670734787815</v>
      </c>
      <c r="D26" s="53">
        <v>0.20301327306920899</v>
      </c>
      <c r="E26" s="54">
        <f t="shared" si="0"/>
        <v>7.2566426006504425E-2</v>
      </c>
      <c r="F26" s="56">
        <v>43.506638369081145</v>
      </c>
    </row>
    <row r="27" spans="1:6" x14ac:dyDescent="0.3">
      <c r="B27">
        <v>5</v>
      </c>
      <c r="C27" s="55">
        <v>0.3870707194936221</v>
      </c>
      <c r="D27" s="53">
        <v>0.19584120821081802</v>
      </c>
      <c r="E27" s="54">
        <f t="shared" si="0"/>
        <v>7.5804397368661583E-2</v>
      </c>
      <c r="F27" s="56">
        <v>45.29853774679583</v>
      </c>
    </row>
    <row r="28" spans="1:6" x14ac:dyDescent="0.3">
      <c r="B28">
        <v>10</v>
      </c>
      <c r="C28" s="55">
        <v>0.39858533058334772</v>
      </c>
      <c r="D28" s="53">
        <v>0.19328694146519432</v>
      </c>
      <c r="E28" s="54">
        <f t="shared" si="0"/>
        <v>7.7041339461348654E-2</v>
      </c>
      <c r="F28" s="56">
        <v>45.98909101639822</v>
      </c>
    </row>
    <row r="29" spans="1:6" x14ac:dyDescent="0.3">
      <c r="B29">
        <v>20</v>
      </c>
      <c r="C29" s="55">
        <v>0.39823684099799433</v>
      </c>
      <c r="D29" s="53">
        <v>0.19341248426637617</v>
      </c>
      <c r="E29" s="54">
        <f t="shared" si="0"/>
        <v>7.702397674381592E-2</v>
      </c>
      <c r="F29" s="56">
        <v>45.955052695139415</v>
      </c>
    </row>
    <row r="30" spans="1:6" x14ac:dyDescent="0.3">
      <c r="B30">
        <v>30</v>
      </c>
      <c r="C30" s="55">
        <v>0.39368313285895756</v>
      </c>
      <c r="D30" s="53">
        <v>0.19445221782891553</v>
      </c>
      <c r="E30" s="54">
        <f t="shared" si="0"/>
        <v>7.6552558306259913E-2</v>
      </c>
      <c r="F30" s="56">
        <v>44.991558866987788</v>
      </c>
    </row>
    <row r="31" spans="1:6" x14ac:dyDescent="0.3">
      <c r="B31">
        <v>50</v>
      </c>
      <c r="C31" s="55">
        <v>0.38439617765716044</v>
      </c>
      <c r="D31" s="53">
        <v>0.19659962518728238</v>
      </c>
      <c r="E31" s="54">
        <f>C31*D31</f>
        <v>7.5572144450821749E-2</v>
      </c>
      <c r="F31" s="56">
        <v>45.103099454157302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6" zoomScale="115" zoomScaleNormal="115" workbookViewId="0">
      <selection activeCell="B27" sqref="B27"/>
    </sheetView>
  </sheetViews>
  <sheetFormatPr defaultColWidth="12.77734375" defaultRowHeight="14.4" x14ac:dyDescent="0.3"/>
  <sheetData>
    <row r="1" spans="1:4" x14ac:dyDescent="0.3">
      <c r="A1" s="4" t="s">
        <v>96</v>
      </c>
    </row>
    <row r="2" spans="1:4" x14ac:dyDescent="0.3">
      <c r="A2" t="s">
        <v>4</v>
      </c>
    </row>
    <row r="3" spans="1:4" x14ac:dyDescent="0.3">
      <c r="A3">
        <v>20180213</v>
      </c>
    </row>
    <row r="6" spans="1:4" x14ac:dyDescent="0.3">
      <c r="A6" s="4" t="s">
        <v>7</v>
      </c>
    </row>
    <row r="7" spans="1:4" x14ac:dyDescent="0.3">
      <c r="A7" t="s">
        <v>2</v>
      </c>
      <c r="B7" s="50">
        <f>SepOpt!B7</f>
        <v>30.000000000169827</v>
      </c>
      <c r="C7" t="s">
        <v>3</v>
      </c>
    </row>
    <row r="8" spans="1:4" x14ac:dyDescent="0.3">
      <c r="A8" t="s">
        <v>0</v>
      </c>
      <c r="B8" s="50">
        <f>SepOpt!B8</f>
        <v>13.857743947550551</v>
      </c>
      <c r="C8" t="s">
        <v>1</v>
      </c>
      <c r="D8" t="s">
        <v>34</v>
      </c>
    </row>
    <row r="9" spans="1:4" x14ac:dyDescent="0.3">
      <c r="B9" s="3">
        <f>B8*14.50377</f>
        <v>200.98953093416526</v>
      </c>
      <c r="C9" t="s">
        <v>6</v>
      </c>
    </row>
    <row r="10" spans="1:4" x14ac:dyDescent="0.3">
      <c r="A10" t="s">
        <v>5</v>
      </c>
      <c r="B10" s="44">
        <f>PK!B13</f>
        <v>279.23274960628373</v>
      </c>
      <c r="C10" t="s">
        <v>1</v>
      </c>
      <c r="D10" t="s">
        <v>33</v>
      </c>
    </row>
    <row r="11" spans="1:4" x14ac:dyDescent="0.3">
      <c r="B11" s="3">
        <f>B10*14.50377</f>
        <v>4049.9275767571298</v>
      </c>
      <c r="C11" t="s">
        <v>6</v>
      </c>
    </row>
    <row r="12" spans="1:4" x14ac:dyDescent="0.3">
      <c r="A12" t="s">
        <v>44</v>
      </c>
      <c r="B12" s="2">
        <v>0.7</v>
      </c>
    </row>
    <row r="13" spans="1:4" x14ac:dyDescent="0.3">
      <c r="A13" t="s">
        <v>45</v>
      </c>
      <c r="B13" s="21">
        <f>1-(B8/B10)^B12</f>
        <v>0.87781769167322388</v>
      </c>
    </row>
    <row r="14" spans="1:4" x14ac:dyDescent="0.3">
      <c r="A14" t="s">
        <v>51</v>
      </c>
      <c r="B14" s="7">
        <f>1/(1-MAX(E24:E37))</f>
        <v>-1.8128392006927528E-2</v>
      </c>
    </row>
    <row r="15" spans="1:4" x14ac:dyDescent="0.3">
      <c r="A15" t="s">
        <v>52</v>
      </c>
      <c r="B15" s="7">
        <f>1/(1-MIN(E24:E37))</f>
        <v>1.0000000006138194</v>
      </c>
    </row>
    <row r="16" spans="1:4" x14ac:dyDescent="0.3">
      <c r="A16" s="28" t="s">
        <v>50</v>
      </c>
      <c r="B16" s="29">
        <f>SepOpt!B11</f>
        <v>0.54241176405106695</v>
      </c>
      <c r="C16" t="s">
        <v>55</v>
      </c>
    </row>
    <row r="19" spans="1:11" x14ac:dyDescent="0.3">
      <c r="A19" s="4" t="s">
        <v>39</v>
      </c>
      <c r="G19" s="30" t="s">
        <v>53</v>
      </c>
    </row>
    <row r="20" spans="1:11" x14ac:dyDescent="0.3">
      <c r="A20" s="4" t="s">
        <v>42</v>
      </c>
      <c r="B20" s="13" t="s">
        <v>43</v>
      </c>
      <c r="C20" s="13"/>
      <c r="D20" s="13"/>
      <c r="E20" s="13"/>
      <c r="F20" s="8"/>
      <c r="G20" s="45">
        <f>SUM(G24:G37)</f>
        <v>3.0378366489003383E-11</v>
      </c>
      <c r="H20" s="13" t="s">
        <v>54</v>
      </c>
      <c r="I20" s="13"/>
      <c r="J20" s="13"/>
      <c r="K20" s="8"/>
    </row>
    <row r="21" spans="1:11" s="5" customFormat="1" x14ac:dyDescent="0.3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5" customFormat="1" x14ac:dyDescent="0.3">
      <c r="A22" s="5" t="s">
        <v>8</v>
      </c>
      <c r="B22" s="8" t="s">
        <v>40</v>
      </c>
      <c r="C22" s="5" t="s">
        <v>46</v>
      </c>
      <c r="D22" s="8" t="s">
        <v>47</v>
      </c>
      <c r="E22" s="8" t="s">
        <v>41</v>
      </c>
      <c r="F22" s="8" t="s">
        <v>48</v>
      </c>
      <c r="G22" s="8" t="s">
        <v>49</v>
      </c>
      <c r="H22" s="8" t="s">
        <v>56</v>
      </c>
      <c r="I22" s="8" t="s">
        <v>57</v>
      </c>
      <c r="J22" s="8"/>
      <c r="K22" s="8"/>
    </row>
    <row r="23" spans="1:11" s="5" customFormat="1" x14ac:dyDescent="0.3">
      <c r="B23" s="8"/>
      <c r="C23" s="8"/>
      <c r="D23" s="8"/>
      <c r="E23" s="9"/>
      <c r="F23" s="8"/>
      <c r="G23" s="8"/>
      <c r="H23" s="8"/>
      <c r="I23" s="8"/>
      <c r="J23" s="9"/>
      <c r="K23" s="8"/>
    </row>
    <row r="24" spans="1:11" x14ac:dyDescent="0.3">
      <c r="A24" t="s">
        <v>15</v>
      </c>
      <c r="B24" s="11">
        <v>0</v>
      </c>
      <c r="C24" s="22">
        <f>($B$7+273.15)/'Comp-Props'!C18</f>
        <v>2.4002375296925562</v>
      </c>
      <c r="D24" s="22">
        <f>$B$8/'Comp-Props'!D18</f>
        <v>0.40770061628568843</v>
      </c>
      <c r="E24" s="23">
        <f>('Comp-Props'!D18/'Flash-1'!$B$10)^('Flash-1'!$B$13-1)*EXP(5.37*'Flash-1'!$B$13*(1+'Comp-Props'!E18)*(1-1/'Flash-1'!C24))/'Flash-1'!D24</f>
        <v>56.162090472109334</v>
      </c>
      <c r="F24" s="23">
        <f>IF(E24=1,1E+30,1/(E24-1))</f>
        <v>1.8128392006927528E-2</v>
      </c>
      <c r="G24" s="27">
        <f t="shared" ref="G24:G37" si="0">IF(F24=1E+30,0,B24/($B$16+F24))</f>
        <v>0</v>
      </c>
      <c r="H24" s="27">
        <f>I24*E24</f>
        <v>0</v>
      </c>
      <c r="I24" s="27">
        <f>B24/($B$16*(E24-1)+1)</f>
        <v>0</v>
      </c>
      <c r="J24" s="25"/>
      <c r="K24" s="16"/>
    </row>
    <row r="25" spans="1:11" x14ac:dyDescent="0.3">
      <c r="A25" t="s">
        <v>16</v>
      </c>
      <c r="B25" s="11">
        <v>1.1100000000000001</v>
      </c>
      <c r="C25" s="22">
        <f>($B$7+273.15)/'Comp-Props'!C19</f>
        <v>0.99654832347195865</v>
      </c>
      <c r="D25" s="22">
        <f>$B$8/'Comp-Props'!D19</f>
        <v>0.18772343467286037</v>
      </c>
      <c r="E25" s="23">
        <f>('Comp-Props'!D19/'Flash-1'!$B$10)^('Flash-1'!$B$13-1)*EXP(5.37*'Flash-1'!$B$13*(1+'Comp-Props'!E19)*(1-1/'Flash-1'!C25))/'Flash-1'!D25</f>
        <v>6.1425506134558354</v>
      </c>
      <c r="F25" s="23">
        <f t="shared" ref="F25:F37" si="1">IF(E25=1,1E+30,1/(E25-1))</f>
        <v>0.19445603459564045</v>
      </c>
      <c r="G25" s="27">
        <f t="shared" si="0"/>
        <v>1.5063760447105541</v>
      </c>
      <c r="H25" s="27">
        <f t="shared" ref="H25:H37" si="2">I25*E25</f>
        <v>1.7992999569748336</v>
      </c>
      <c r="I25" s="27">
        <f t="shared" ref="I25:I37" si="3">B25/($B$16*(E25-1)+1)</f>
        <v>0.29292391226427955</v>
      </c>
      <c r="J25" s="25"/>
      <c r="K25" s="16"/>
    </row>
    <row r="26" spans="1:11" x14ac:dyDescent="0.3">
      <c r="A26" t="s">
        <v>28</v>
      </c>
      <c r="B26" s="11">
        <v>0</v>
      </c>
      <c r="C26" s="22">
        <f>($B$7+273.15)/'Comp-Props'!C20</f>
        <v>0.81142933618889135</v>
      </c>
      <c r="D26" s="22">
        <f>$B$8/'Comp-Props'!D20</f>
        <v>0.15388943861799612</v>
      </c>
      <c r="E26" s="23">
        <f>('Comp-Props'!D20/'Flash-1'!$B$10)^('Flash-1'!$B$13-1)*EXP(5.37*'Flash-1'!$B$13*(1+'Comp-Props'!E20)*(1-1/'Flash-1'!C26))/'Flash-1'!D26</f>
        <v>2.236184147989702</v>
      </c>
      <c r="F26" s="23">
        <f t="shared" si="1"/>
        <v>0.80894096694753159</v>
      </c>
      <c r="G26" s="27">
        <f t="shared" si="0"/>
        <v>0</v>
      </c>
      <c r="H26" s="27">
        <f t="shared" si="2"/>
        <v>0</v>
      </c>
      <c r="I26" s="27">
        <f t="shared" si="3"/>
        <v>0</v>
      </c>
      <c r="J26" s="25"/>
      <c r="K26" s="16"/>
    </row>
    <row r="27" spans="1:11" x14ac:dyDescent="0.3">
      <c r="A27" t="s">
        <v>17</v>
      </c>
      <c r="B27" s="11">
        <v>39.5</v>
      </c>
      <c r="C27" s="22">
        <f>($B$7+273.15)/'Comp-Props'!C21</f>
        <v>1.5905036726136927</v>
      </c>
      <c r="D27" s="22">
        <f>$B$8/'Comp-Props'!D21</f>
        <v>0.30099356966877827</v>
      </c>
      <c r="E27" s="23">
        <f>('Comp-Props'!D21/'Flash-1'!$B$10)^('Flash-1'!$B$13-1)*EXP(5.37*'Flash-1'!$B$13*(1+'Comp-Props'!E21)*(1-1/'Flash-1'!C27))/'Flash-1'!D27</f>
        <v>24.316263653817682</v>
      </c>
      <c r="F27" s="23">
        <f t="shared" si="1"/>
        <v>4.2888518282656544E-2</v>
      </c>
      <c r="G27" s="27">
        <f t="shared" si="0"/>
        <v>67.4867263731783</v>
      </c>
      <c r="H27" s="27">
        <f t="shared" si="2"/>
        <v>70.381132071070994</v>
      </c>
      <c r="I27" s="27">
        <f t="shared" si="3"/>
        <v>2.8944056978926973</v>
      </c>
      <c r="J27" s="25"/>
      <c r="K27" s="16"/>
    </row>
    <row r="28" spans="1:11" x14ac:dyDescent="0.3">
      <c r="A28" t="s">
        <v>18</v>
      </c>
      <c r="B28" s="11">
        <v>9.69</v>
      </c>
      <c r="C28" s="22">
        <f>($B$7+273.15)/'Comp-Props'!C22</f>
        <v>0.99263261296715732</v>
      </c>
      <c r="D28" s="22">
        <f>$B$8/'Comp-Props'!D22</f>
        <v>0.28397016285964244</v>
      </c>
      <c r="E28" s="23">
        <f>('Comp-Props'!D22/'Flash-1'!$B$10)^('Flash-1'!$B$13-1)*EXP(5.37*'Flash-1'!$B$13*(1+'Comp-Props'!E22)*(1-1/'Flash-1'!C28))/'Flash-1'!D28</f>
        <v>4.1948057730466051</v>
      </c>
      <c r="F28" s="23">
        <f t="shared" si="1"/>
        <v>0.3130080734286354</v>
      </c>
      <c r="G28" s="27">
        <f t="shared" si="0"/>
        <v>11.327770967469441</v>
      </c>
      <c r="H28" s="27">
        <f t="shared" si="2"/>
        <v>14.87345473423788</v>
      </c>
      <c r="I28" s="27">
        <f t="shared" si="3"/>
        <v>3.5456837667684389</v>
      </c>
      <c r="J28" s="25"/>
      <c r="K28" s="16"/>
    </row>
    <row r="29" spans="1:11" x14ac:dyDescent="0.3">
      <c r="A29" t="s">
        <v>19</v>
      </c>
      <c r="B29" s="11">
        <v>7.84</v>
      </c>
      <c r="C29" s="22">
        <f>($B$7+273.15)/'Comp-Props'!C23</f>
        <v>0.81976744186092432</v>
      </c>
      <c r="D29" s="22">
        <f>$B$8/'Comp-Props'!D23</f>
        <v>0.32614130260180163</v>
      </c>
      <c r="E29" s="23">
        <f>('Comp-Props'!D23/'Flash-1'!$B$10)^('Flash-1'!$B$13-1)*EXP(5.37*'Flash-1'!$B$13*(1+'Comp-Props'!E23)*(1-1/'Flash-1'!C29))/'Flash-1'!D29</f>
        <v>1.1774969837672722</v>
      </c>
      <c r="F29" s="23">
        <f t="shared" si="1"/>
        <v>5.6338985529532426</v>
      </c>
      <c r="G29" s="27">
        <f t="shared" si="0"/>
        <v>1.2693662717067993</v>
      </c>
      <c r="H29" s="27">
        <f t="shared" si="2"/>
        <v>8.4208470730433884</v>
      </c>
      <c r="I29" s="27">
        <f t="shared" si="3"/>
        <v>7.1514808013365894</v>
      </c>
      <c r="J29" s="25"/>
      <c r="K29" s="16"/>
    </row>
    <row r="30" spans="1:11" x14ac:dyDescent="0.3">
      <c r="A30" t="s">
        <v>20</v>
      </c>
      <c r="B30" s="11">
        <v>1.59</v>
      </c>
      <c r="C30" s="22">
        <f>($B$7+273.15)/'Comp-Props'!C24</f>
        <v>0.74265066144088643</v>
      </c>
      <c r="D30" s="22">
        <f>$B$8/'Comp-Props'!D24</f>
        <v>0.37987236698329363</v>
      </c>
      <c r="E30" s="23">
        <f>('Comp-Props'!D24/'Flash-1'!$B$10)^('Flash-1'!$B$13-1)*EXP(5.37*'Flash-1'!$B$13*(1+'Comp-Props'!E24)*(1-1/'Flash-1'!C30))/'Flash-1'!D30</f>
        <v>0.49473241842537435</v>
      </c>
      <c r="F30" s="23">
        <f t="shared" si="1"/>
        <v>-1.9791493388188108</v>
      </c>
      <c r="G30" s="27">
        <f t="shared" si="0"/>
        <v>-1.1066739172997768</v>
      </c>
      <c r="H30" s="27">
        <f t="shared" si="2"/>
        <v>1.0835990344120998</v>
      </c>
      <c r="I30" s="27">
        <f t="shared" si="3"/>
        <v>2.1902729517118766</v>
      </c>
      <c r="J30" s="25"/>
      <c r="K30" s="16"/>
    </row>
    <row r="31" spans="1:11" x14ac:dyDescent="0.3">
      <c r="A31" t="s">
        <v>21</v>
      </c>
      <c r="B31" s="11">
        <v>3.7199999999999998</v>
      </c>
      <c r="C31" s="22">
        <f>($B$7+273.15)/'Comp-Props'!C25</f>
        <v>0.71295860771441633</v>
      </c>
      <c r="D31" s="22">
        <f>$B$8/'Comp-Props'!D25</f>
        <v>0.36496560304320652</v>
      </c>
      <c r="E31" s="23">
        <f>('Comp-Props'!D25/'Flash-1'!$B$10)^('Flash-1'!$B$13-1)*EXP(5.37*'Flash-1'!$B$13*(1+'Comp-Props'!E25)*(1-1/'Flash-1'!C31))/'Flash-1'!D31</f>
        <v>0.36349010307829543</v>
      </c>
      <c r="F31" s="23">
        <f t="shared" si="1"/>
        <v>-1.5710674803898728</v>
      </c>
      <c r="G31" s="27">
        <f t="shared" si="0"/>
        <v>-3.6163703179915569</v>
      </c>
      <c r="H31" s="27">
        <f t="shared" si="2"/>
        <v>2.0651914856521607</v>
      </c>
      <c r="I31" s="27">
        <f t="shared" si="3"/>
        <v>5.6815618036437172</v>
      </c>
      <c r="J31" s="25"/>
      <c r="K31" s="16"/>
    </row>
    <row r="32" spans="1:11" x14ac:dyDescent="0.3">
      <c r="A32" t="s">
        <v>22</v>
      </c>
      <c r="B32" s="11">
        <v>1.23</v>
      </c>
      <c r="C32" s="22">
        <f>($B$7+273.15)/'Comp-Props'!C26</f>
        <v>0.65844917463112473</v>
      </c>
      <c r="D32" s="22">
        <f>$B$8/'Comp-Props'!D26</f>
        <v>0.40987116082669478</v>
      </c>
      <c r="E32" s="23">
        <f>('Comp-Props'!D26/'Flash-1'!$B$10)^('Flash-1'!$B$13-1)*EXP(5.37*'Flash-1'!$B$13*(1+'Comp-Props'!E26)*(1-1/'Flash-1'!C32))/'Flash-1'!D32</f>
        <v>0.15706417654375035</v>
      </c>
      <c r="F32" s="23">
        <f t="shared" si="1"/>
        <v>-1.1863299342288569</v>
      </c>
      <c r="G32" s="27">
        <f t="shared" si="0"/>
        <v>-1.9101806051852661</v>
      </c>
      <c r="H32" s="27">
        <f t="shared" si="2"/>
        <v>0.35592382652940879</v>
      </c>
      <c r="I32" s="27">
        <f t="shared" si="3"/>
        <v>2.266104431714675</v>
      </c>
      <c r="J32" s="25"/>
      <c r="K32" s="16"/>
    </row>
    <row r="33" spans="1:11" x14ac:dyDescent="0.3">
      <c r="A33" t="s">
        <v>23</v>
      </c>
      <c r="B33" s="11">
        <v>2.11</v>
      </c>
      <c r="C33" s="22">
        <f>($B$7+273.15)/'Comp-Props'!C27</f>
        <v>0.64541196508445786</v>
      </c>
      <c r="D33" s="22">
        <f>$B$8/'Comp-Props'!D27</f>
        <v>0.41133107591423423</v>
      </c>
      <c r="E33" s="23">
        <f>('Comp-Props'!D27/'Flash-1'!$B$10)^('Flash-1'!$B$13-1)*EXP(5.37*'Flash-1'!$B$13*(1+'Comp-Props'!E27)*(1-1/'Flash-1'!C33))/'Flash-1'!D33</f>
        <v>0.12330648523288651</v>
      </c>
      <c r="F33" s="23">
        <f t="shared" si="1"/>
        <v>-1.1406494780170033</v>
      </c>
      <c r="G33" s="27">
        <f t="shared" si="0"/>
        <v>-3.5270260479100171</v>
      </c>
      <c r="H33" s="27">
        <f t="shared" si="2"/>
        <v>0.49607437259091813</v>
      </c>
      <c r="I33" s="27">
        <f t="shared" si="3"/>
        <v>4.0231004205009357</v>
      </c>
      <c r="J33" s="25"/>
      <c r="K33" s="16"/>
    </row>
    <row r="34" spans="1:11" x14ac:dyDescent="0.3">
      <c r="A34" t="s">
        <v>24</v>
      </c>
      <c r="B34" s="11">
        <v>2.9499999999999997</v>
      </c>
      <c r="C34" s="22">
        <f>($B$7+273.15)/'Comp-Props'!C28</f>
        <v>0.59740529888362792</v>
      </c>
      <c r="D34" s="22">
        <f>$B$8/'Comp-Props'!D28</f>
        <v>0.46003554802967556</v>
      </c>
      <c r="E34" s="23">
        <f>('Comp-Props'!D28/'Flash-1'!$B$10)^('Flash-1'!$B$13-1)*EXP(5.37*'Flash-1'!$B$13*(1+'Comp-Props'!E28)*(1-1/'Flash-1'!C34))/'Flash-1'!D34</f>
        <v>4.6535376981375991E-2</v>
      </c>
      <c r="F34" s="23">
        <f t="shared" si="1"/>
        <v>-1.0488066110245886</v>
      </c>
      <c r="G34" s="27">
        <f t="shared" si="0"/>
        <v>-5.825493718253119</v>
      </c>
      <c r="H34" s="27">
        <f t="shared" si="2"/>
        <v>0.28432260593296432</v>
      </c>
      <c r="I34" s="27">
        <f t="shared" si="3"/>
        <v>6.1098163241860828</v>
      </c>
      <c r="J34" s="24"/>
      <c r="K34" s="19"/>
    </row>
    <row r="35" spans="1:11" x14ac:dyDescent="0.3">
      <c r="A35" t="s">
        <v>25</v>
      </c>
      <c r="B35" s="11">
        <v>15.78</v>
      </c>
      <c r="C35" s="22">
        <f>($B$7+273.15)/'Comp-Props'!C29</f>
        <v>0.51212576255307896</v>
      </c>
      <c r="D35" s="22">
        <f>$B$8/'Comp-Props'!D29</f>
        <v>0.49069709700723935</v>
      </c>
      <c r="E35" s="23">
        <f>('Comp-Props'!D29/'Flash-1'!$B$10)^('Flash-1'!$B$13-1)*EXP(5.37*'Flash-1'!$B$13*(1+'Comp-Props'!E29)*(1-1/'Flash-1'!C35))/'Flash-1'!D35</f>
        <v>7.009531251617275E-3</v>
      </c>
      <c r="F35" s="23">
        <f t="shared" ref="F35:F36" si="4">IF(E35=1,1E+30,1/(E35-1))</f>
        <v>-1.007059011614132</v>
      </c>
      <c r="G35" s="27">
        <f t="shared" ref="G35:G36" si="5">IF(F35=1E+30,0,B35/($B$16+F35))</f>
        <v>-33.961247124052385</v>
      </c>
      <c r="H35" s="27">
        <f t="shared" ref="H35:H36" si="6">I35*E35</f>
        <v>0.23973283787909486</v>
      </c>
      <c r="I35" s="27">
        <f t="shared" ref="I35:I36" si="7">B35/($B$16*(E35-1)+1)</f>
        <v>34.200979961931473</v>
      </c>
      <c r="J35" s="26"/>
      <c r="K35" s="20"/>
    </row>
    <row r="36" spans="1:11" x14ac:dyDescent="0.3">
      <c r="A36" t="s">
        <v>25</v>
      </c>
      <c r="B36" s="11">
        <v>12.43</v>
      </c>
      <c r="C36" s="22">
        <f>($B$7+273.15)/'Comp-Props'!C30</f>
        <v>0.40241150442500417</v>
      </c>
      <c r="D36" s="22">
        <f>$B$8/'Comp-Props'!D30</f>
        <v>0.85491080788670881</v>
      </c>
      <c r="E36" s="23">
        <f>('Comp-Props'!D30/'Flash-1'!$B$10)^('Flash-1'!$B$13-1)*EXP(5.37*'Flash-1'!$B$13*(1+'Comp-Props'!E30)*(1-1/'Flash-1'!C36))/'Flash-1'!D36</f>
        <v>1.553542290007778E-5</v>
      </c>
      <c r="F36" s="23">
        <f t="shared" si="4"/>
        <v>-1.0000155356642533</v>
      </c>
      <c r="G36" s="27">
        <f t="shared" si="5"/>
        <v>-27.163237654664943</v>
      </c>
      <c r="H36" s="27">
        <f t="shared" si="6"/>
        <v>4.2199894023253677E-4</v>
      </c>
      <c r="I36" s="27">
        <f t="shared" si="7"/>
        <v>27.16365965360518</v>
      </c>
      <c r="J36" s="26"/>
      <c r="K36" s="20"/>
    </row>
    <row r="37" spans="1:11" x14ac:dyDescent="0.3">
      <c r="A37" t="s">
        <v>25</v>
      </c>
      <c r="B37" s="11">
        <v>2.0500000000000003</v>
      </c>
      <c r="C37" s="22">
        <f>($B$7+273.15)/'Comp-Props'!C31</f>
        <v>0.32305369723539501</v>
      </c>
      <c r="D37" s="22">
        <f>$B$8/'Comp-Props'!D31</f>
        <v>1.4932357424529366</v>
      </c>
      <c r="E37" s="23">
        <f>('Comp-Props'!D31/'Flash-1'!$B$10)^('Flash-1'!$B$13-1)*EXP(5.37*'Flash-1'!$B$13*(1+'Comp-Props'!E31)*(1-1/'Flash-1'!C37))/'Flash-1'!D37</f>
        <v>6.1381947466296432E-10</v>
      </c>
      <c r="F37" s="23">
        <f t="shared" si="1"/>
        <v>-1.0000000006138194</v>
      </c>
      <c r="G37" s="27">
        <f t="shared" si="0"/>
        <v>-4.4800102716776644</v>
      </c>
      <c r="H37" s="27">
        <f t="shared" si="2"/>
        <v>2.7499175531338209E-9</v>
      </c>
      <c r="I37" s="27">
        <f t="shared" si="3"/>
        <v>4.480010274427582</v>
      </c>
      <c r="J37" s="26"/>
      <c r="K37" s="20"/>
    </row>
    <row r="39" spans="1:11" x14ac:dyDescent="0.3">
      <c r="B39" s="6">
        <f>SUM(B24:B37)</f>
        <v>100.00000000000001</v>
      </c>
      <c r="H39" s="6">
        <f>SUM(H24:H37)</f>
        <v>100.00000000001388</v>
      </c>
      <c r="I39" s="6">
        <f>SUM(I24:I37)</f>
        <v>99.99999999998353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7" zoomScale="115" zoomScaleNormal="115" workbookViewId="0">
      <selection activeCell="K40" sqref="K40"/>
    </sheetView>
  </sheetViews>
  <sheetFormatPr defaultColWidth="12.77734375" defaultRowHeight="14.4" x14ac:dyDescent="0.3"/>
  <sheetData>
    <row r="1" spans="1:4" x14ac:dyDescent="0.3">
      <c r="A1" s="4" t="s">
        <v>96</v>
      </c>
    </row>
    <row r="2" spans="1:4" x14ac:dyDescent="0.3">
      <c r="A2" t="s">
        <v>4</v>
      </c>
    </row>
    <row r="3" spans="1:4" x14ac:dyDescent="0.3">
      <c r="A3">
        <v>20180213</v>
      </c>
    </row>
    <row r="6" spans="1:4" x14ac:dyDescent="0.3">
      <c r="A6" s="4" t="s">
        <v>7</v>
      </c>
    </row>
    <row r="7" spans="1:4" x14ac:dyDescent="0.3">
      <c r="A7" t="s">
        <v>2</v>
      </c>
      <c r="B7" s="1">
        <v>15.56</v>
      </c>
      <c r="C7" t="s">
        <v>3</v>
      </c>
    </row>
    <row r="8" spans="1:4" x14ac:dyDescent="0.3">
      <c r="A8" t="s">
        <v>0</v>
      </c>
      <c r="B8" s="1">
        <v>1</v>
      </c>
      <c r="C8" t="s">
        <v>1</v>
      </c>
      <c r="D8" t="s">
        <v>34</v>
      </c>
    </row>
    <row r="9" spans="1:4" x14ac:dyDescent="0.3">
      <c r="B9" s="3">
        <f>B8*14.50377</f>
        <v>14.503769999999999</v>
      </c>
      <c r="C9" t="s">
        <v>6</v>
      </c>
    </row>
    <row r="10" spans="1:4" x14ac:dyDescent="0.3">
      <c r="A10" t="s">
        <v>5</v>
      </c>
      <c r="B10" s="44">
        <f>PK!B13</f>
        <v>279.23274960628373</v>
      </c>
      <c r="C10" t="s">
        <v>1</v>
      </c>
      <c r="D10" t="s">
        <v>33</v>
      </c>
    </row>
    <row r="11" spans="1:4" x14ac:dyDescent="0.3">
      <c r="B11" s="3">
        <f>B10*14.50377</f>
        <v>4049.9275767571298</v>
      </c>
      <c r="C11" t="s">
        <v>6</v>
      </c>
    </row>
    <row r="12" spans="1:4" x14ac:dyDescent="0.3">
      <c r="A12" t="s">
        <v>44</v>
      </c>
      <c r="B12" s="2">
        <v>0.7</v>
      </c>
    </row>
    <row r="13" spans="1:4" x14ac:dyDescent="0.3">
      <c r="A13" t="s">
        <v>45</v>
      </c>
      <c r="B13" s="21">
        <f>1-(B8/B10)^B12</f>
        <v>0.98059902513531227</v>
      </c>
    </row>
    <row r="14" spans="1:4" x14ac:dyDescent="0.3">
      <c r="A14" t="s">
        <v>51</v>
      </c>
      <c r="B14" s="7">
        <f>1/(1-MAX(E24:E37))</f>
        <v>-1.2796598202586961E-3</v>
      </c>
    </row>
    <row r="15" spans="1:4" x14ac:dyDescent="0.3">
      <c r="A15" t="s">
        <v>52</v>
      </c>
      <c r="B15" s="7">
        <f>1/(1-MIN(E24:E37))</f>
        <v>1.0000000000866103</v>
      </c>
    </row>
    <row r="16" spans="1:4" x14ac:dyDescent="0.3">
      <c r="A16" s="28" t="s">
        <v>50</v>
      </c>
      <c r="B16" s="29">
        <f>SepOpt!B12</f>
        <v>0.12638565837439075</v>
      </c>
      <c r="C16" t="s">
        <v>55</v>
      </c>
    </row>
    <row r="19" spans="1:11" x14ac:dyDescent="0.3">
      <c r="A19" s="4" t="s">
        <v>39</v>
      </c>
      <c r="G19" s="30" t="s">
        <v>53</v>
      </c>
    </row>
    <row r="20" spans="1:11" x14ac:dyDescent="0.3">
      <c r="A20" s="4" t="s">
        <v>42</v>
      </c>
      <c r="B20" s="13" t="s">
        <v>43</v>
      </c>
      <c r="C20" s="13"/>
      <c r="D20" s="13"/>
      <c r="E20" s="13"/>
      <c r="F20" s="8"/>
      <c r="G20" s="45">
        <f>SUM(G24:G37)</f>
        <v>-3.730793451950376E-10</v>
      </c>
      <c r="H20" s="13" t="s">
        <v>54</v>
      </c>
      <c r="I20" s="13"/>
      <c r="J20" s="13"/>
      <c r="K20" s="8" t="s">
        <v>112</v>
      </c>
    </row>
    <row r="21" spans="1:11" s="5" customFormat="1" x14ac:dyDescent="0.3">
      <c r="B21" s="8"/>
      <c r="C21" s="8"/>
      <c r="D21" s="8"/>
      <c r="E21" s="8"/>
      <c r="F21" s="8"/>
      <c r="G21" s="8"/>
      <c r="H21" s="8"/>
      <c r="I21" s="8"/>
      <c r="J21" s="8"/>
      <c r="K21" s="8" t="s">
        <v>29</v>
      </c>
    </row>
    <row r="22" spans="1:11" s="5" customFormat="1" x14ac:dyDescent="0.3">
      <c r="A22" s="5" t="s">
        <v>8</v>
      </c>
      <c r="B22" s="8" t="s">
        <v>40</v>
      </c>
      <c r="C22" s="5" t="s">
        <v>46</v>
      </c>
      <c r="D22" s="8" t="s">
        <v>47</v>
      </c>
      <c r="E22" s="8" t="s">
        <v>41</v>
      </c>
      <c r="F22" s="8" t="s">
        <v>48</v>
      </c>
      <c r="G22" s="8" t="s">
        <v>49</v>
      </c>
      <c r="H22" s="8" t="s">
        <v>56</v>
      </c>
      <c r="I22" s="8" t="s">
        <v>57</v>
      </c>
      <c r="J22" s="8" t="s">
        <v>110</v>
      </c>
      <c r="K22" s="8" t="s">
        <v>111</v>
      </c>
    </row>
    <row r="23" spans="1:11" s="5" customFormat="1" x14ac:dyDescent="0.3">
      <c r="B23" s="8"/>
      <c r="C23" s="8"/>
      <c r="D23" s="8"/>
      <c r="E23" s="9"/>
      <c r="F23" s="8"/>
      <c r="G23" s="8"/>
      <c r="H23" s="8"/>
      <c r="I23" s="8"/>
      <c r="J23" s="9"/>
      <c r="K23" s="8"/>
    </row>
    <row r="24" spans="1:11" x14ac:dyDescent="0.3">
      <c r="A24" t="s">
        <v>15</v>
      </c>
      <c r="B24" s="46">
        <f>'Flash-1'!I24</f>
        <v>0</v>
      </c>
      <c r="C24" s="22">
        <f>($B$7+273.15)/'Comp-Props'!C18</f>
        <v>2.2859065716547899</v>
      </c>
      <c r="D24" s="22">
        <f>$B$8/'Comp-Props'!D18</f>
        <v>2.942041776993233E-2</v>
      </c>
      <c r="E24" s="23">
        <f>('Comp-Props'!D18/'Flash-2'!$B$10)^('Flash-2'!$B$13-1)*EXP(5.37*'Flash-2'!$B$13*(1+'Comp-Props'!E18)*(1-1/'Flash-2'!C24))/'Flash-2'!D24</f>
        <v>782.45768443197653</v>
      </c>
      <c r="F24" s="23">
        <f>IF(E24=1,1E+30,1/(E24-1))</f>
        <v>1.2796598202586961E-3</v>
      </c>
      <c r="G24" s="27">
        <f t="shared" ref="G24:G37" si="0">IF(F24=1E+30,0,B24/($B$16+F24))</f>
        <v>0</v>
      </c>
      <c r="H24" s="27">
        <f>I24*E24</f>
        <v>0</v>
      </c>
      <c r="I24" s="27">
        <f>B24/($B$16*(E24-1)+1)</f>
        <v>0</v>
      </c>
      <c r="J24" s="22">
        <f>I24*'Comp-Props'!B18</f>
        <v>0</v>
      </c>
      <c r="K24" s="16">
        <f>J24/'Comp-Props'!F18</f>
        <v>0</v>
      </c>
    </row>
    <row r="25" spans="1:11" x14ac:dyDescent="0.3">
      <c r="A25" t="s">
        <v>16</v>
      </c>
      <c r="B25" s="46">
        <f>'Flash-1'!I25</f>
        <v>0.29292391226427955</v>
      </c>
      <c r="C25" s="22">
        <f>($B$7+273.15)/'Comp-Props'!C19</f>
        <v>0.94907955292570678</v>
      </c>
      <c r="D25" s="22">
        <f>$B$8/'Comp-Props'!D19</f>
        <v>1.3546464372798701E-2</v>
      </c>
      <c r="E25" s="23">
        <f>('Comp-Props'!D19/'Flash-2'!$B$10)^('Flash-2'!$B$13-1)*EXP(5.37*'Flash-2'!$B$13*(1+'Comp-Props'!E19)*(1-1/'Flash-2'!C25))/'Flash-2'!D25</f>
        <v>53.498522158205802</v>
      </c>
      <c r="F25" s="23">
        <f t="shared" ref="F25:F37" si="1">IF(E25=1,1E+30,1/(E25-1))</f>
        <v>1.9048155241141292E-2</v>
      </c>
      <c r="G25" s="27">
        <f t="shared" si="0"/>
        <v>2.0141389748511407</v>
      </c>
      <c r="H25" s="27">
        <f t="shared" ref="H25:H37" si="2">I25*E25</f>
        <v>2.0525046067213379</v>
      </c>
      <c r="I25" s="27">
        <f t="shared" ref="I25:I37" si="3">B25/($B$16*(E25-1)+1)</f>
        <v>3.8365631870197696E-2</v>
      </c>
      <c r="J25" s="22">
        <f>I25*'Comp-Props'!B19</f>
        <v>1.6884714586074006</v>
      </c>
      <c r="K25" s="16">
        <f>J25/'Comp-Props'!F19</f>
        <v>3.3803232404552566E-3</v>
      </c>
    </row>
    <row r="26" spans="1:11" x14ac:dyDescent="0.3">
      <c r="A26" t="s">
        <v>28</v>
      </c>
      <c r="B26" s="46">
        <f>'Flash-1'!I26</f>
        <v>0</v>
      </c>
      <c r="C26" s="22">
        <f>($B$7+273.15)/'Comp-Props'!C20</f>
        <v>0.77277837259100635</v>
      </c>
      <c r="D26" s="22">
        <f>$B$8/'Comp-Props'!D20</f>
        <v>1.1104941699056081E-2</v>
      </c>
      <c r="E26" s="23">
        <f>('Comp-Props'!D20/'Flash-2'!$B$10)^('Flash-2'!$B$13-1)*EXP(5.37*'Flash-2'!$B$13*(1+'Comp-Props'!E20)*(1-1/'Flash-2'!C26))/'Flash-2'!D26</f>
        <v>16.762929196207676</v>
      </c>
      <c r="F26" s="23">
        <f t="shared" si="1"/>
        <v>6.3439985522524903E-2</v>
      </c>
      <c r="G26" s="27">
        <f t="shared" si="0"/>
        <v>0</v>
      </c>
      <c r="H26" s="27">
        <f t="shared" si="2"/>
        <v>0</v>
      </c>
      <c r="I26" s="27">
        <f t="shared" si="3"/>
        <v>0</v>
      </c>
      <c r="J26" s="22">
        <f>I26*'Comp-Props'!B20</f>
        <v>0</v>
      </c>
      <c r="K26" s="16">
        <f>J26/'Comp-Props'!F20</f>
        <v>0</v>
      </c>
    </row>
    <row r="27" spans="1:11" x14ac:dyDescent="0.3">
      <c r="A27" t="s">
        <v>17</v>
      </c>
      <c r="B27" s="46">
        <f>'Flash-1'!I27</f>
        <v>2.8944056978926973</v>
      </c>
      <c r="C27" s="22">
        <f>($B$7+273.15)/'Comp-Props'!C21</f>
        <v>1.5147429171038824</v>
      </c>
      <c r="D27" s="22">
        <f>$B$8/'Comp-Props'!D21</f>
        <v>2.1720243266724587E-2</v>
      </c>
      <c r="E27" s="23">
        <f>('Comp-Props'!D21/'Flash-2'!$B$10)^('Flash-2'!$B$13-1)*EXP(5.37*'Flash-2'!$B$13*(1+'Comp-Props'!E21)*(1-1/'Flash-2'!C27))/'Flash-2'!D27</f>
        <v>291.34271624281274</v>
      </c>
      <c r="F27" s="23">
        <f t="shared" si="1"/>
        <v>3.4442055683039869E-3</v>
      </c>
      <c r="G27" s="27">
        <f t="shared" si="0"/>
        <v>22.29383602504776</v>
      </c>
      <c r="H27" s="27">
        <f t="shared" si="2"/>
        <v>22.370620579224088</v>
      </c>
      <c r="I27" s="27">
        <f t="shared" si="3"/>
        <v>7.6784554176325515E-2</v>
      </c>
      <c r="J27" s="22">
        <f>I27*'Comp-Props'!B21</f>
        <v>1.2316242489882612</v>
      </c>
      <c r="K27" s="16">
        <f>J27/'Comp-Props'!F21</f>
        <v>3.7355906854360365E-3</v>
      </c>
    </row>
    <row r="28" spans="1:11" x14ac:dyDescent="0.3">
      <c r="A28" t="s">
        <v>18</v>
      </c>
      <c r="B28" s="46">
        <f>'Flash-1'!I28</f>
        <v>3.5456837667684389</v>
      </c>
      <c r="C28" s="22">
        <f>($B$7+273.15)/'Comp-Props'!C22</f>
        <v>0.94535036018336605</v>
      </c>
      <c r="D28" s="22">
        <f>$B$8/'Comp-Props'!D22</f>
        <v>2.0491803278688527E-2</v>
      </c>
      <c r="E28" s="23">
        <f>('Comp-Props'!D22/'Flash-2'!$B$10)^('Flash-2'!$B$13-1)*EXP(5.37*'Flash-2'!$B$13*(1+'Comp-Props'!E22)*(1-1/'Flash-2'!C28))/'Flash-2'!D28</f>
        <v>36.216697895840639</v>
      </c>
      <c r="F28" s="23">
        <f t="shared" si="1"/>
        <v>2.8395620820488899E-2</v>
      </c>
      <c r="G28" s="27">
        <f t="shared" si="0"/>
        <v>22.907704246998716</v>
      </c>
      <c r="H28" s="27">
        <f t="shared" si="2"/>
        <v>23.558182730664395</v>
      </c>
      <c r="I28" s="27">
        <f t="shared" si="3"/>
        <v>0.65047848366567873</v>
      </c>
      <c r="J28" s="22">
        <f>I28*'Comp-Props'!B22</f>
        <v>19.559888003826959</v>
      </c>
      <c r="K28" s="16">
        <f>J28/'Comp-Props'!F22</f>
        <v>4.3505088976483447E-2</v>
      </c>
    </row>
    <row r="29" spans="1:11" x14ac:dyDescent="0.3">
      <c r="A29" t="s">
        <v>19</v>
      </c>
      <c r="B29" s="46">
        <f>'Flash-1'!I29</f>
        <v>7.1514808013365894</v>
      </c>
      <c r="C29" s="22">
        <f>($B$7+273.15)/'Comp-Props'!C23</f>
        <v>0.78071930773391018</v>
      </c>
      <c r="D29" s="22">
        <f>$B$8/'Comp-Props'!D23</f>
        <v>2.3534949399858788E-2</v>
      </c>
      <c r="E29" s="23">
        <f>('Comp-Props'!D23/'Flash-2'!$B$10)^('Flash-2'!$B$13-1)*EXP(5.37*'Flash-2'!$B$13*(1+'Comp-Props'!E23)*(1-1/'Flash-2'!C29))/'Flash-2'!D29</f>
        <v>8.098978912261769</v>
      </c>
      <c r="F29" s="23">
        <f t="shared" si="1"/>
        <v>0.14086532899439128</v>
      </c>
      <c r="G29" s="27">
        <f t="shared" si="0"/>
        <v>26.759417698495522</v>
      </c>
      <c r="H29" s="27">
        <f t="shared" si="2"/>
        <v>30.528891876292434</v>
      </c>
      <c r="I29" s="27">
        <f t="shared" si="3"/>
        <v>3.7694741777969085</v>
      </c>
      <c r="J29" s="22">
        <f>I29*'Comp-Props'!B23</f>
        <v>166.19611649906571</v>
      </c>
      <c r="K29" s="16">
        <f>J29/'Comp-Props'!F23</f>
        <v>0.32767373126787402</v>
      </c>
    </row>
    <row r="30" spans="1:11" x14ac:dyDescent="0.3">
      <c r="A30" t="s">
        <v>20</v>
      </c>
      <c r="B30" s="46">
        <f>'Flash-1'!I30</f>
        <v>2.1902729517118766</v>
      </c>
      <c r="C30" s="22">
        <f>($B$7+273.15)/'Comp-Props'!C24</f>
        <v>0.70727584517393427</v>
      </c>
      <c r="D30" s="22">
        <f>$B$8/'Comp-Props'!D24</f>
        <v>2.7412280701754388E-2</v>
      </c>
      <c r="E30" s="23">
        <f>('Comp-Props'!D24/'Flash-2'!$B$10)^('Flash-2'!$B$13-1)*EXP(5.37*'Flash-2'!$B$13*(1+'Comp-Props'!E24)*(1-1/'Flash-2'!C30))/'Flash-2'!D30</f>
        <v>2.9275228988797455</v>
      </c>
      <c r="F30" s="23">
        <f t="shared" si="1"/>
        <v>0.51880058108839522</v>
      </c>
      <c r="G30" s="27">
        <f t="shared" si="0"/>
        <v>3.3947917945919093</v>
      </c>
      <c r="H30" s="27">
        <f t="shared" si="2"/>
        <v>5.1560117503003084</v>
      </c>
      <c r="I30" s="27">
        <f t="shared" si="3"/>
        <v>1.7612199557083987</v>
      </c>
      <c r="J30" s="22">
        <f>I30*'Comp-Props'!B24</f>
        <v>102.36210382577212</v>
      </c>
      <c r="K30" s="16">
        <f>J30/'Comp-Props'!F24</f>
        <v>0.18256126953053703</v>
      </c>
    </row>
    <row r="31" spans="1:11" x14ac:dyDescent="0.3">
      <c r="A31" t="s">
        <v>21</v>
      </c>
      <c r="B31" s="46">
        <f>'Flash-1'!I31</f>
        <v>5.6815618036437172</v>
      </c>
      <c r="C31" s="22">
        <f>($B$7+273.15)/'Comp-Props'!C25</f>
        <v>0.67899811853245529</v>
      </c>
      <c r="D31" s="22">
        <f>$B$8/'Comp-Props'!D25</f>
        <v>2.6336581511719779E-2</v>
      </c>
      <c r="E31" s="23">
        <f>('Comp-Props'!D25/'Flash-2'!$B$10)^('Flash-2'!$B$13-1)*EXP(5.37*'Flash-2'!$B$13*(1+'Comp-Props'!E25)*(1-1/'Flash-2'!C31))/'Flash-2'!D31</f>
        <v>2.0260356877047325</v>
      </c>
      <c r="F31" s="23">
        <f t="shared" si="1"/>
        <v>0.97462496868605519</v>
      </c>
      <c r="G31" s="27">
        <f t="shared" si="0"/>
        <v>5.1603151359335584</v>
      </c>
      <c r="H31" s="27">
        <f t="shared" si="2"/>
        <v>10.189687113702979</v>
      </c>
      <c r="I31" s="27">
        <f t="shared" si="3"/>
        <v>5.0293719777694204</v>
      </c>
      <c r="J31" s="22">
        <f>I31*'Comp-Props'!B25</f>
        <v>292.30709934795868</v>
      </c>
      <c r="K31" s="16">
        <f>J31/'Comp-Props'!F25</f>
        <v>0.50069732673511258</v>
      </c>
    </row>
    <row r="32" spans="1:11" x14ac:dyDescent="0.3">
      <c r="A32" t="s">
        <v>22</v>
      </c>
      <c r="B32" s="46">
        <f>'Flash-1'!I32</f>
        <v>2.266104431714675</v>
      </c>
      <c r="C32" s="22">
        <f>($B$7+273.15)/'Comp-Props'!C26</f>
        <v>0.62708514335360555</v>
      </c>
      <c r="D32" s="22">
        <f>$B$8/'Comp-Props'!D26</f>
        <v>2.9577048210588583E-2</v>
      </c>
      <c r="E32" s="23">
        <f>('Comp-Props'!D26/'Flash-2'!$B$10)^('Flash-2'!$B$13-1)*EXP(5.37*'Flash-2'!$B$13*(1+'Comp-Props'!E26)*(1-1/'Flash-2'!C32))/'Flash-2'!D32</f>
        <v>0.75461974862311465</v>
      </c>
      <c r="F32" s="23">
        <f t="shared" si="1"/>
        <v>-4.0753075864449917</v>
      </c>
      <c r="G32" s="27">
        <f t="shared" si="0"/>
        <v>-0.57385394621409191</v>
      </c>
      <c r="H32" s="27">
        <f t="shared" si="2"/>
        <v>1.7647773943035931</v>
      </c>
      <c r="I32" s="27">
        <f t="shared" si="3"/>
        <v>2.3386313405176851</v>
      </c>
      <c r="J32" s="22">
        <f>I32*'Comp-Props'!B26</f>
        <v>168.732251218351</v>
      </c>
      <c r="K32" s="16">
        <f>J32/'Comp-Props'!F26</f>
        <v>0.26919631655767551</v>
      </c>
    </row>
    <row r="33" spans="1:12" x14ac:dyDescent="0.3">
      <c r="A33" t="s">
        <v>23</v>
      </c>
      <c r="B33" s="46">
        <f>'Flash-1'!I33</f>
        <v>4.0231004205009357</v>
      </c>
      <c r="C33" s="22">
        <f>($B$7+273.15)/'Comp-Props'!C27</f>
        <v>0.61466893761975727</v>
      </c>
      <c r="D33" s="22">
        <f>$B$8/'Comp-Props'!D27</f>
        <v>2.9682398337785694E-2</v>
      </c>
      <c r="E33" s="23">
        <f>('Comp-Props'!D27/'Flash-2'!$B$10)^('Flash-2'!$B$13-1)*EXP(5.37*'Flash-2'!$B$13*(1+'Comp-Props'!E27)*(1-1/'Flash-2'!C33))/'Flash-2'!D33</f>
        <v>0.56470983736346558</v>
      </c>
      <c r="F33" s="23">
        <f t="shared" si="1"/>
        <v>-2.2973181703511094</v>
      </c>
      <c r="G33" s="27">
        <f t="shared" si="0"/>
        <v>-1.8531669677919864</v>
      </c>
      <c r="H33" s="27">
        <f t="shared" si="2"/>
        <v>2.4041471800110128</v>
      </c>
      <c r="I33" s="27">
        <f t="shared" si="3"/>
        <v>4.2573141478029992</v>
      </c>
      <c r="J33" s="22">
        <f>I33*'Comp-Props'!B27</f>
        <v>307.1652157639864</v>
      </c>
      <c r="K33" s="16">
        <f>J33/'Comp-Props'!F27</f>
        <v>0.48795109732166225</v>
      </c>
    </row>
    <row r="34" spans="1:12" x14ac:dyDescent="0.3">
      <c r="A34" t="s">
        <v>24</v>
      </c>
      <c r="B34" s="46">
        <f>'Flash-1'!I34</f>
        <v>6.1098163241860828</v>
      </c>
      <c r="C34" s="22">
        <f>($B$7+273.15)/'Comp-Props'!C28</f>
        <v>0.56894898182614406</v>
      </c>
      <c r="D34" s="22">
        <f>$B$8/'Comp-Props'!D28</f>
        <v>3.3197001602197303E-2</v>
      </c>
      <c r="E34" s="23">
        <f>('Comp-Props'!D28/'Flash-2'!$B$10)^('Flash-2'!$B$13-1)*EXP(5.37*'Flash-2'!$B$13*(1+'Comp-Props'!E28)*(1-1/'Flash-2'!C34))/'Flash-2'!D34</f>
        <v>0.17893555889612175</v>
      </c>
      <c r="F34" s="23">
        <f t="shared" si="1"/>
        <v>-1.2179311999622737</v>
      </c>
      <c r="G34" s="27">
        <f t="shared" si="0"/>
        <v>-5.5973993675958473</v>
      </c>
      <c r="H34" s="27">
        <f t="shared" si="2"/>
        <v>1.2198479608482349</v>
      </c>
      <c r="I34" s="27">
        <f t="shared" si="3"/>
        <v>6.8172473284440827</v>
      </c>
      <c r="J34" s="22">
        <f>I34*'Comp-Props'!B28</f>
        <v>587.44220229202665</v>
      </c>
      <c r="K34" s="16">
        <f>J34/'Comp-Props'!F28</f>
        <v>0.89039683424511429</v>
      </c>
    </row>
    <row r="35" spans="1:12" x14ac:dyDescent="0.3">
      <c r="A35" t="s">
        <v>25</v>
      </c>
      <c r="B35" s="46">
        <f>'Flash-1'!I35</f>
        <v>34.200979961931473</v>
      </c>
      <c r="C35" s="22">
        <f>($B$7+273.15)/'Comp-Props'!C29</f>
        <v>0.48773158141717499</v>
      </c>
      <c r="D35" s="22">
        <f>$B$8/'Comp-Props'!D29</f>
        <v>3.5409594726562493E-2</v>
      </c>
      <c r="E35" s="23">
        <f>('Comp-Props'!D29/'Flash-2'!$B$10)^('Flash-2'!$B$13-1)*EXP(5.37*'Flash-2'!$B$13*(1+'Comp-Props'!E29)*(1-1/'Flash-2'!C35))/'Flash-2'!D35</f>
        <v>1.9336572015726292E-2</v>
      </c>
      <c r="F35" s="23">
        <f t="shared" si="1"/>
        <v>-1.0197178475957567</v>
      </c>
      <c r="G35" s="27">
        <f t="shared" si="0"/>
        <v>-38.284728093970585</v>
      </c>
      <c r="H35" s="27">
        <f t="shared" si="2"/>
        <v>0.75489243380189897</v>
      </c>
      <c r="I35" s="27">
        <f t="shared" si="3"/>
        <v>39.039620527772477</v>
      </c>
      <c r="J35" s="22">
        <f>I35*'Comp-Props'!B29</f>
        <v>4454.4207022188393</v>
      </c>
      <c r="K35" s="16">
        <f>J35/'Comp-Props'!F29</f>
        <v>5.8097905814201241</v>
      </c>
    </row>
    <row r="36" spans="1:12" x14ac:dyDescent="0.3">
      <c r="A36" t="s">
        <v>25</v>
      </c>
      <c r="B36" s="46">
        <f>'Flash-1'!I36</f>
        <v>27.16365965360518</v>
      </c>
      <c r="C36" s="22">
        <f>($B$7+273.15)/'Comp-Props'!C30</f>
        <v>0.38324336283185834</v>
      </c>
      <c r="D36" s="22">
        <f>$B$8/'Comp-Props'!D30</f>
        <v>6.1691918332624412E-2</v>
      </c>
      <c r="E36" s="23">
        <f>('Comp-Props'!D30/'Flash-2'!$B$10)^('Flash-2'!$B$13-1)*EXP(5.37*'Flash-2'!$B$13*(1+'Comp-Props'!E30)*(1-1/'Flash-2'!C36))/'Flash-2'!D36</f>
        <v>1.4034293971243568E-5</v>
      </c>
      <c r="F36" s="23">
        <f t="shared" si="1"/>
        <v>-1.0000140344909354</v>
      </c>
      <c r="G36" s="27">
        <f t="shared" si="0"/>
        <v>-31.092922798997392</v>
      </c>
      <c r="H36" s="27">
        <f t="shared" si="2"/>
        <v>4.363733431780901E-4</v>
      </c>
      <c r="I36" s="27">
        <f t="shared" si="3"/>
        <v>31.093359172340566</v>
      </c>
      <c r="J36" s="22">
        <f>I36*'Comp-Props'!B30</f>
        <v>6936.9284313491798</v>
      </c>
      <c r="K36" s="16">
        <f>J36/'Comp-Props'!F30</f>
        <v>8.2627362738438634</v>
      </c>
    </row>
    <row r="37" spans="1:12" x14ac:dyDescent="0.3">
      <c r="A37" t="s">
        <v>25</v>
      </c>
      <c r="B37" s="46">
        <f>'Flash-1'!I37</f>
        <v>4.480010274427582</v>
      </c>
      <c r="C37" s="22">
        <f>($B$7+273.15)/'Comp-Props'!C31</f>
        <v>0.30766562074477533</v>
      </c>
      <c r="D37" s="22">
        <f>$B$8/'Comp-Props'!D31</f>
        <v>0.10775460624071323</v>
      </c>
      <c r="E37" s="23">
        <f>('Comp-Props'!D31/'Flash-2'!$B$10)^('Flash-2'!$B$13-1)*EXP(5.37*'Flash-2'!$B$13*(1+'Comp-Props'!E31)*(1-1/'Flash-2'!C37))/'Flash-2'!D37</f>
        <v>8.6610237201436548E-11</v>
      </c>
      <c r="F37" s="23">
        <f t="shared" si="1"/>
        <v>-1.0000000000866103</v>
      </c>
      <c r="G37" s="27">
        <f t="shared" si="0"/>
        <v>-5.1281327017217837</v>
      </c>
      <c r="H37" s="27">
        <f t="shared" si="2"/>
        <v>4.4414878973503518E-10</v>
      </c>
      <c r="I37" s="27">
        <f t="shared" si="3"/>
        <v>5.1281327021659324</v>
      </c>
      <c r="J37" s="22">
        <f>I37*'Comp-Props'!B31</f>
        <v>2333.3003794854994</v>
      </c>
      <c r="K37" s="16">
        <f>J37/'Comp-Props'!F31</f>
        <v>2.5236678641699286</v>
      </c>
    </row>
    <row r="39" spans="1:12" x14ac:dyDescent="0.3">
      <c r="B39" s="6">
        <f>SUM(B24:B37)</f>
        <v>99.99999999998353</v>
      </c>
      <c r="H39" s="6">
        <f>SUM(H24:H37)</f>
        <v>99.999999999657604</v>
      </c>
      <c r="I39" s="6">
        <f>SUM(I24:I37)</f>
        <v>100.00000000003067</v>
      </c>
      <c r="J39" s="6">
        <f t="shared" ref="J39:K39" si="4">SUM(J24:J37)</f>
        <v>15371.334485712101</v>
      </c>
      <c r="K39" s="6">
        <f t="shared" si="4"/>
        <v>19.305292297994267</v>
      </c>
    </row>
    <row r="40" spans="1:12" x14ac:dyDescent="0.3">
      <c r="I40" s="30" t="s">
        <v>113</v>
      </c>
      <c r="J40" s="56">
        <f>J39/I39</f>
        <v>153.71334485707388</v>
      </c>
      <c r="K40" s="57">
        <f>J39/K39</f>
        <v>796.22386692943849</v>
      </c>
      <c r="L40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F18" sqref="F18"/>
    </sheetView>
  </sheetViews>
  <sheetFormatPr defaultColWidth="12.77734375" defaultRowHeight="14.4" x14ac:dyDescent="0.3"/>
  <sheetData>
    <row r="1" spans="1:11" x14ac:dyDescent="0.3">
      <c r="A1" s="4" t="s">
        <v>97</v>
      </c>
    </row>
    <row r="2" spans="1:11" x14ac:dyDescent="0.3">
      <c r="A2" t="s">
        <v>4</v>
      </c>
    </row>
    <row r="3" spans="1:11" x14ac:dyDescent="0.3">
      <c r="A3">
        <v>20180213</v>
      </c>
    </row>
    <row r="6" spans="1:11" x14ac:dyDescent="0.3">
      <c r="A6" s="4"/>
    </row>
    <row r="7" spans="1:11" x14ac:dyDescent="0.3">
      <c r="B7" s="1"/>
    </row>
    <row r="8" spans="1:11" x14ac:dyDescent="0.3">
      <c r="B8" s="1"/>
    </row>
    <row r="9" spans="1:11" x14ac:dyDescent="0.3">
      <c r="B9" s="3"/>
    </row>
    <row r="10" spans="1:11" x14ac:dyDescent="0.3">
      <c r="B10" s="1"/>
    </row>
    <row r="11" spans="1:11" x14ac:dyDescent="0.3">
      <c r="B11" s="3"/>
    </row>
    <row r="13" spans="1:11" x14ac:dyDescent="0.3">
      <c r="A13" s="4" t="s">
        <v>93</v>
      </c>
    </row>
    <row r="14" spans="1:11" x14ac:dyDescent="0.3">
      <c r="A14" s="4"/>
      <c r="B14" s="13"/>
      <c r="C14" s="13"/>
      <c r="D14" s="13"/>
      <c r="E14" s="13"/>
      <c r="F14" s="8" t="s">
        <v>32</v>
      </c>
      <c r="G14" s="13"/>
      <c r="H14" s="13"/>
      <c r="I14" s="13"/>
      <c r="J14" s="13"/>
      <c r="K14" s="8" t="s">
        <v>32</v>
      </c>
    </row>
    <row r="15" spans="1:11" s="5" customFormat="1" x14ac:dyDescent="0.3">
      <c r="B15" s="8"/>
      <c r="C15" s="8"/>
      <c r="D15" s="8"/>
      <c r="E15" s="8" t="s">
        <v>12</v>
      </c>
      <c r="F15" s="8" t="s">
        <v>29</v>
      </c>
      <c r="G15" s="8"/>
      <c r="H15" s="8"/>
      <c r="I15" s="8"/>
      <c r="J15" s="8" t="s">
        <v>12</v>
      </c>
      <c r="K15" s="8" t="s">
        <v>29</v>
      </c>
    </row>
    <row r="16" spans="1:11" s="5" customFormat="1" x14ac:dyDescent="0.3">
      <c r="A16" s="5" t="s">
        <v>8</v>
      </c>
      <c r="B16" s="8" t="s">
        <v>9</v>
      </c>
      <c r="C16" s="8" t="s">
        <v>10</v>
      </c>
      <c r="D16" s="8" t="s">
        <v>35</v>
      </c>
      <c r="E16" s="8" t="s">
        <v>13</v>
      </c>
      <c r="F16" s="8" t="s">
        <v>30</v>
      </c>
      <c r="G16" s="8" t="s">
        <v>9</v>
      </c>
      <c r="H16" s="8" t="s">
        <v>10</v>
      </c>
      <c r="I16" s="8" t="s">
        <v>35</v>
      </c>
      <c r="J16" s="8" t="s">
        <v>13</v>
      </c>
      <c r="K16" s="8" t="s">
        <v>26</v>
      </c>
    </row>
    <row r="17" spans="1:11" s="5" customFormat="1" x14ac:dyDescent="0.3">
      <c r="B17" s="8" t="s">
        <v>36</v>
      </c>
      <c r="C17" s="8" t="s">
        <v>11</v>
      </c>
      <c r="D17" s="8" t="s">
        <v>1</v>
      </c>
      <c r="E17" s="9" t="s">
        <v>14</v>
      </c>
      <c r="F17" s="8" t="s">
        <v>31</v>
      </c>
      <c r="G17" s="8" t="s">
        <v>37</v>
      </c>
      <c r="H17" s="8" t="s">
        <v>38</v>
      </c>
      <c r="I17" s="8" t="s">
        <v>6</v>
      </c>
      <c r="J17" s="9" t="s">
        <v>14</v>
      </c>
      <c r="K17" s="8" t="s">
        <v>27</v>
      </c>
    </row>
    <row r="18" spans="1:11" x14ac:dyDescent="0.3">
      <c r="A18" t="s">
        <v>15</v>
      </c>
      <c r="B18" s="10">
        <v>28.02</v>
      </c>
      <c r="C18" s="10">
        <v>126.3</v>
      </c>
      <c r="D18" s="11">
        <v>33.99</v>
      </c>
      <c r="E18" s="12">
        <v>4.4999999999999998E-2</v>
      </c>
      <c r="F18" s="10">
        <v>469.5</v>
      </c>
      <c r="G18" s="13">
        <f>B18</f>
        <v>28.02</v>
      </c>
      <c r="H18" s="13">
        <f>C18*1.8</f>
        <v>227.34</v>
      </c>
      <c r="I18" s="18">
        <f>D18*14.50377</f>
        <v>492.9831423</v>
      </c>
      <c r="J18" s="15">
        <f>E18</f>
        <v>4.4999999999999998E-2</v>
      </c>
      <c r="K18" s="16">
        <f>F18/999</f>
        <v>0.46996996996996998</v>
      </c>
    </row>
    <row r="19" spans="1:11" x14ac:dyDescent="0.3">
      <c r="A19" t="s">
        <v>16</v>
      </c>
      <c r="B19" s="10">
        <v>44.01</v>
      </c>
      <c r="C19" s="10">
        <v>304.2</v>
      </c>
      <c r="D19" s="11">
        <v>73.819999999999993</v>
      </c>
      <c r="E19" s="12">
        <v>0.23100000000000001</v>
      </c>
      <c r="F19" s="10">
        <v>499.5</v>
      </c>
      <c r="G19" s="13">
        <f t="shared" ref="G19:G27" si="0">B19</f>
        <v>44.01</v>
      </c>
      <c r="H19" s="13">
        <f t="shared" ref="H19:H27" si="1">C19*1.8</f>
        <v>547.55999999999995</v>
      </c>
      <c r="I19" s="18">
        <f t="shared" ref="I19:I27" si="2">D19*14.50377</f>
        <v>1070.6683013999998</v>
      </c>
      <c r="J19" s="15">
        <f t="shared" ref="J19:J27" si="3">E19</f>
        <v>0.23100000000000001</v>
      </c>
      <c r="K19" s="16">
        <f t="shared" ref="K19:K27" si="4">F19/999</f>
        <v>0.5</v>
      </c>
    </row>
    <row r="20" spans="1:11" x14ac:dyDescent="0.3">
      <c r="A20" t="s">
        <v>28</v>
      </c>
      <c r="B20" s="10">
        <v>34.08</v>
      </c>
      <c r="C20" s="10">
        <v>373.6</v>
      </c>
      <c r="D20" s="11">
        <v>90.05</v>
      </c>
      <c r="E20" s="12">
        <v>0.1</v>
      </c>
      <c r="F20" s="10">
        <v>499.5</v>
      </c>
      <c r="G20" s="13">
        <f t="shared" si="0"/>
        <v>34.08</v>
      </c>
      <c r="H20" s="13">
        <f t="shared" si="1"/>
        <v>672.48</v>
      </c>
      <c r="I20" s="18">
        <f t="shared" si="2"/>
        <v>1306.0644884999999</v>
      </c>
      <c r="J20" s="15">
        <f t="shared" si="3"/>
        <v>0.1</v>
      </c>
      <c r="K20" s="16">
        <f t="shared" si="4"/>
        <v>0.5</v>
      </c>
    </row>
    <row r="21" spans="1:11" x14ac:dyDescent="0.3">
      <c r="A21" t="s">
        <v>17</v>
      </c>
      <c r="B21" s="10">
        <v>16.04</v>
      </c>
      <c r="C21" s="10">
        <v>190.6</v>
      </c>
      <c r="D21" s="11">
        <v>46.04</v>
      </c>
      <c r="E21" s="12">
        <v>1.15E-2</v>
      </c>
      <c r="F21" s="10">
        <v>329.7</v>
      </c>
      <c r="G21" s="13">
        <f t="shared" si="0"/>
        <v>16.04</v>
      </c>
      <c r="H21" s="13">
        <f t="shared" si="1"/>
        <v>343.08</v>
      </c>
      <c r="I21" s="18">
        <f t="shared" si="2"/>
        <v>667.75357079999992</v>
      </c>
      <c r="J21" s="15">
        <f t="shared" si="3"/>
        <v>1.15E-2</v>
      </c>
      <c r="K21" s="16">
        <f t="shared" si="4"/>
        <v>0.33003003003003001</v>
      </c>
    </row>
    <row r="22" spans="1:11" x14ac:dyDescent="0.3">
      <c r="A22" t="s">
        <v>18</v>
      </c>
      <c r="B22" s="10">
        <v>30.07</v>
      </c>
      <c r="C22" s="10">
        <v>305.39999999999998</v>
      </c>
      <c r="D22" s="11">
        <v>48.8</v>
      </c>
      <c r="E22" s="12">
        <v>9.0800000000000006E-2</v>
      </c>
      <c r="F22" s="10">
        <v>449.6</v>
      </c>
      <c r="G22" s="13">
        <f t="shared" si="0"/>
        <v>30.07</v>
      </c>
      <c r="H22" s="13">
        <f t="shared" si="1"/>
        <v>549.72</v>
      </c>
      <c r="I22" s="18">
        <f t="shared" si="2"/>
        <v>707.78397599999994</v>
      </c>
      <c r="J22" s="15">
        <f t="shared" si="3"/>
        <v>9.0800000000000006E-2</v>
      </c>
      <c r="K22" s="16">
        <f t="shared" si="4"/>
        <v>0.45005005005005005</v>
      </c>
    </row>
    <row r="23" spans="1:11" x14ac:dyDescent="0.3">
      <c r="A23" t="s">
        <v>19</v>
      </c>
      <c r="B23" s="10">
        <v>44.09</v>
      </c>
      <c r="C23" s="10">
        <v>369.8</v>
      </c>
      <c r="D23" s="11">
        <v>42.49</v>
      </c>
      <c r="E23" s="12">
        <v>0.1454</v>
      </c>
      <c r="F23" s="10">
        <v>507.2</v>
      </c>
      <c r="G23" s="13">
        <f t="shared" si="0"/>
        <v>44.09</v>
      </c>
      <c r="H23" s="13">
        <f t="shared" si="1"/>
        <v>665.64</v>
      </c>
      <c r="I23" s="18">
        <f t="shared" si="2"/>
        <v>616.26518729999998</v>
      </c>
      <c r="J23" s="15">
        <f t="shared" si="3"/>
        <v>0.1454</v>
      </c>
      <c r="K23" s="16">
        <f t="shared" si="4"/>
        <v>0.50770770770770768</v>
      </c>
    </row>
    <row r="24" spans="1:11" x14ac:dyDescent="0.3">
      <c r="A24" t="s">
        <v>20</v>
      </c>
      <c r="B24" s="10">
        <v>58.12</v>
      </c>
      <c r="C24" s="10">
        <v>408.2</v>
      </c>
      <c r="D24" s="11">
        <v>36.479999999999997</v>
      </c>
      <c r="E24" s="12">
        <v>0.17560000000000001</v>
      </c>
      <c r="F24" s="10">
        <v>560.70000000000005</v>
      </c>
      <c r="G24" s="13">
        <f t="shared" si="0"/>
        <v>58.12</v>
      </c>
      <c r="H24" s="13">
        <f t="shared" si="1"/>
        <v>734.76</v>
      </c>
      <c r="I24" s="18">
        <f t="shared" si="2"/>
        <v>529.09752959999992</v>
      </c>
      <c r="J24" s="15">
        <f t="shared" si="3"/>
        <v>0.17560000000000001</v>
      </c>
      <c r="K24" s="16">
        <f t="shared" si="4"/>
        <v>0.5612612612612613</v>
      </c>
    </row>
    <row r="25" spans="1:11" x14ac:dyDescent="0.3">
      <c r="A25" t="s">
        <v>21</v>
      </c>
      <c r="B25" s="10">
        <v>58.12</v>
      </c>
      <c r="C25" s="10">
        <v>425.2</v>
      </c>
      <c r="D25" s="11">
        <v>37.97</v>
      </c>
      <c r="E25" s="12">
        <v>0.1928</v>
      </c>
      <c r="F25" s="10">
        <v>583.79999999999995</v>
      </c>
      <c r="G25" s="13">
        <f t="shared" si="0"/>
        <v>58.12</v>
      </c>
      <c r="H25" s="13">
        <f t="shared" si="1"/>
        <v>765.36</v>
      </c>
      <c r="I25" s="18">
        <f t="shared" si="2"/>
        <v>550.70814689999997</v>
      </c>
      <c r="J25" s="15">
        <f t="shared" si="3"/>
        <v>0.1928</v>
      </c>
      <c r="K25" s="16">
        <f t="shared" si="4"/>
        <v>0.58438438438438434</v>
      </c>
    </row>
    <row r="26" spans="1:11" x14ac:dyDescent="0.3">
      <c r="A26" t="s">
        <v>22</v>
      </c>
      <c r="B26" s="10">
        <v>72.150000000000006</v>
      </c>
      <c r="C26" s="10">
        <v>460.4</v>
      </c>
      <c r="D26" s="11">
        <v>33.81</v>
      </c>
      <c r="E26" s="12">
        <v>0.2273</v>
      </c>
      <c r="F26" s="10">
        <v>626.79999999999995</v>
      </c>
      <c r="G26" s="13">
        <f t="shared" si="0"/>
        <v>72.150000000000006</v>
      </c>
      <c r="H26" s="13">
        <f t="shared" si="1"/>
        <v>828.72</v>
      </c>
      <c r="I26" s="18">
        <f t="shared" si="2"/>
        <v>490.37246370000003</v>
      </c>
      <c r="J26" s="15">
        <f t="shared" si="3"/>
        <v>0.2273</v>
      </c>
      <c r="K26" s="16">
        <f t="shared" si="4"/>
        <v>0.62742742742742741</v>
      </c>
    </row>
    <row r="27" spans="1:11" x14ac:dyDescent="0.3">
      <c r="A27" t="s">
        <v>23</v>
      </c>
      <c r="B27" s="10">
        <v>72.150000000000006</v>
      </c>
      <c r="C27" s="10">
        <v>469.7</v>
      </c>
      <c r="D27" s="11">
        <v>33.69</v>
      </c>
      <c r="E27" s="12">
        <v>0.251</v>
      </c>
      <c r="F27" s="10">
        <v>629.5</v>
      </c>
      <c r="G27" s="13">
        <f t="shared" si="0"/>
        <v>72.150000000000006</v>
      </c>
      <c r="H27" s="13">
        <f t="shared" si="1"/>
        <v>845.46</v>
      </c>
      <c r="I27" s="18">
        <f t="shared" si="2"/>
        <v>488.63201129999993</v>
      </c>
      <c r="J27" s="15">
        <f t="shared" si="3"/>
        <v>0.251</v>
      </c>
      <c r="K27" s="16">
        <f t="shared" si="4"/>
        <v>0.63013013013013008</v>
      </c>
    </row>
    <row r="28" spans="1:11" x14ac:dyDescent="0.3">
      <c r="A28" t="s">
        <v>24</v>
      </c>
      <c r="B28" s="18">
        <f>G28</f>
        <v>86.17</v>
      </c>
      <c r="C28" s="18">
        <f>H28/1.8</f>
        <v>507.4444444444444</v>
      </c>
      <c r="D28" s="17">
        <f>I28/14.50377</f>
        <v>30.123202450121589</v>
      </c>
      <c r="E28" s="13">
        <f>J28</f>
        <v>0.29570000000000002</v>
      </c>
      <c r="F28" s="18">
        <f>K28*999</f>
        <v>659.7532467532468</v>
      </c>
      <c r="G28" s="14">
        <v>86.17</v>
      </c>
      <c r="H28" s="14">
        <v>913.4</v>
      </c>
      <c r="I28" s="14">
        <v>436.9</v>
      </c>
      <c r="J28" s="10">
        <v>0.29570000000000002</v>
      </c>
      <c r="K28" s="19">
        <v>0.66041366041366045</v>
      </c>
    </row>
    <row r="29" spans="1:11" x14ac:dyDescent="0.3">
      <c r="A29" t="s">
        <v>90</v>
      </c>
      <c r="B29" s="10">
        <v>114.1</v>
      </c>
      <c r="C29" s="14">
        <v>591.94444444444446</v>
      </c>
      <c r="D29" s="11">
        <v>28.240933219431916</v>
      </c>
      <c r="E29" s="10">
        <v>0.32550000000000001</v>
      </c>
      <c r="F29" s="14">
        <v>766.70934</v>
      </c>
      <c r="G29" s="13">
        <f t="shared" ref="G29:G31" si="5">B29</f>
        <v>114.1</v>
      </c>
      <c r="H29" s="13">
        <f t="shared" ref="H29:H31" si="6">C29*1.8</f>
        <v>1065.5</v>
      </c>
      <c r="I29" s="18">
        <f t="shared" ref="I29:I31" si="7">D29*14.50377</f>
        <v>409.6</v>
      </c>
      <c r="J29" s="15">
        <f t="shared" ref="J29:J31" si="8">E29</f>
        <v>0.32550000000000001</v>
      </c>
      <c r="K29" s="16">
        <f t="shared" ref="K29:K31" si="9">F29/999</f>
        <v>0.76747681681681679</v>
      </c>
    </row>
    <row r="30" spans="1:11" x14ac:dyDescent="0.3">
      <c r="A30" t="s">
        <v>91</v>
      </c>
      <c r="B30" s="10">
        <v>223.1</v>
      </c>
      <c r="C30" s="14">
        <v>753.33333333333337</v>
      </c>
      <c r="D30" s="11">
        <v>16.209578613008894</v>
      </c>
      <c r="E30" s="10">
        <v>0.65380000000000005</v>
      </c>
      <c r="F30" s="14">
        <v>839.5437300000001</v>
      </c>
      <c r="G30" s="13">
        <f t="shared" si="5"/>
        <v>223.1</v>
      </c>
      <c r="H30" s="13">
        <f t="shared" si="6"/>
        <v>1356</v>
      </c>
      <c r="I30" s="18">
        <f t="shared" si="7"/>
        <v>235.1</v>
      </c>
      <c r="J30" s="15">
        <f t="shared" si="8"/>
        <v>0.65380000000000005</v>
      </c>
      <c r="K30" s="16">
        <f t="shared" si="9"/>
        <v>0.84038411411411418</v>
      </c>
    </row>
    <row r="31" spans="1:11" x14ac:dyDescent="0.3">
      <c r="A31" t="s">
        <v>92</v>
      </c>
      <c r="B31" s="10">
        <v>455</v>
      </c>
      <c r="C31" s="14">
        <v>938.3888888888888</v>
      </c>
      <c r="D31" s="11">
        <v>9.2803457307996471</v>
      </c>
      <c r="E31" s="10">
        <v>1.1489</v>
      </c>
      <c r="F31" s="14">
        <v>924.56713999999999</v>
      </c>
      <c r="G31" s="13">
        <f t="shared" si="5"/>
        <v>455</v>
      </c>
      <c r="H31" s="13">
        <f t="shared" si="6"/>
        <v>1689.1</v>
      </c>
      <c r="I31" s="18">
        <f t="shared" si="7"/>
        <v>134.6</v>
      </c>
      <c r="J31" s="15">
        <f t="shared" si="8"/>
        <v>1.1489</v>
      </c>
      <c r="K31" s="16">
        <f t="shared" si="9"/>
        <v>0.92549263263263259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/>
  </sheetViews>
  <sheetFormatPr defaultColWidth="12.77734375" defaultRowHeight="14.4" x14ac:dyDescent="0.3"/>
  <sheetData>
    <row r="1" spans="1:7" x14ac:dyDescent="0.3">
      <c r="A1" s="4" t="s">
        <v>73</v>
      </c>
    </row>
    <row r="2" spans="1:7" x14ac:dyDescent="0.3">
      <c r="A2" t="s">
        <v>4</v>
      </c>
      <c r="G2" s="4" t="s">
        <v>83</v>
      </c>
    </row>
    <row r="3" spans="1:7" x14ac:dyDescent="0.3">
      <c r="A3">
        <v>20180213</v>
      </c>
      <c r="G3" s="4" t="s">
        <v>70</v>
      </c>
    </row>
    <row r="4" spans="1:7" x14ac:dyDescent="0.3">
      <c r="G4" s="40" t="s">
        <v>75</v>
      </c>
    </row>
    <row r="5" spans="1:7" x14ac:dyDescent="0.3">
      <c r="G5" s="40" t="s">
        <v>88</v>
      </c>
    </row>
    <row r="6" spans="1:7" x14ac:dyDescent="0.3">
      <c r="A6" s="4" t="s">
        <v>7</v>
      </c>
      <c r="G6" s="40" t="s">
        <v>77</v>
      </c>
    </row>
    <row r="7" spans="1:7" x14ac:dyDescent="0.3">
      <c r="A7" t="s">
        <v>2</v>
      </c>
      <c r="B7" s="36">
        <v>113.33333333333333</v>
      </c>
      <c r="C7" t="s">
        <v>3</v>
      </c>
      <c r="G7" s="40" t="s">
        <v>74</v>
      </c>
    </row>
    <row r="8" spans="1:7" x14ac:dyDescent="0.3">
      <c r="A8" t="s">
        <v>69</v>
      </c>
      <c r="B8" s="35">
        <f>B9/14.50377</f>
        <v>213.73753169003646</v>
      </c>
      <c r="C8" t="s">
        <v>1</v>
      </c>
      <c r="G8" s="4" t="s">
        <v>82</v>
      </c>
    </row>
    <row r="9" spans="1:7" x14ac:dyDescent="0.3">
      <c r="B9" s="43">
        <v>3100</v>
      </c>
      <c r="C9" t="s">
        <v>6</v>
      </c>
      <c r="G9" s="40" t="s">
        <v>76</v>
      </c>
    </row>
    <row r="10" spans="1:7" x14ac:dyDescent="0.3">
      <c r="A10" t="s">
        <v>67</v>
      </c>
      <c r="B10" s="34" t="s">
        <v>60</v>
      </c>
      <c r="G10" s="40" t="s">
        <v>89</v>
      </c>
    </row>
    <row r="11" spans="1:7" x14ac:dyDescent="0.3">
      <c r="A11" t="s">
        <v>59</v>
      </c>
      <c r="B11" s="3">
        <f>IF(ABS(F22)&lt;ABS(G22),0,1)</f>
        <v>0</v>
      </c>
      <c r="G11" s="40" t="s">
        <v>78</v>
      </c>
    </row>
    <row r="12" spans="1:7" x14ac:dyDescent="0.3">
      <c r="A12" t="s">
        <v>58</v>
      </c>
      <c r="B12" s="33" t="str">
        <f>IF(B11=0,"BP","DP")</f>
        <v>BP</v>
      </c>
      <c r="G12" s="40"/>
    </row>
    <row r="13" spans="1:7" x14ac:dyDescent="0.3">
      <c r="A13" t="s">
        <v>5</v>
      </c>
      <c r="B13" s="41">
        <v>279.23274960628373</v>
      </c>
      <c r="C13" t="s">
        <v>1</v>
      </c>
      <c r="G13" s="40"/>
    </row>
    <row r="14" spans="1:7" x14ac:dyDescent="0.3">
      <c r="B14" s="3">
        <f>B13*14.50377</f>
        <v>4049.9275767571298</v>
      </c>
      <c r="C14" t="s">
        <v>6</v>
      </c>
      <c r="G14" s="40"/>
    </row>
    <row r="15" spans="1:7" x14ac:dyDescent="0.3">
      <c r="A15" t="s">
        <v>44</v>
      </c>
      <c r="B15" s="42">
        <v>0.7</v>
      </c>
      <c r="G15" s="4"/>
    </row>
    <row r="16" spans="1:7" x14ac:dyDescent="0.3">
      <c r="A16" t="s">
        <v>45</v>
      </c>
      <c r="B16" s="21">
        <f>1-(B8/B13)^B15</f>
        <v>0.1706456902711968</v>
      </c>
      <c r="G16" s="40"/>
    </row>
    <row r="17" spans="1:9" x14ac:dyDescent="0.3">
      <c r="A17" t="s">
        <v>72</v>
      </c>
      <c r="B17" s="41">
        <v>259.34772550660273</v>
      </c>
      <c r="C17" t="s">
        <v>1</v>
      </c>
      <c r="G17" s="40"/>
    </row>
    <row r="18" spans="1:9" x14ac:dyDescent="0.3">
      <c r="B18" s="3">
        <f>B17*14.50377</f>
        <v>3761.5197607708992</v>
      </c>
      <c r="C18" t="s">
        <v>6</v>
      </c>
      <c r="G18" s="40"/>
    </row>
    <row r="19" spans="1:9" x14ac:dyDescent="0.3">
      <c r="A19" s="39"/>
      <c r="B19" s="38"/>
    </row>
    <row r="21" spans="1:9" x14ac:dyDescent="0.3">
      <c r="E21" s="5" t="s">
        <v>66</v>
      </c>
      <c r="F21" s="5" t="s">
        <v>64</v>
      </c>
      <c r="G21" s="5" t="s">
        <v>65</v>
      </c>
    </row>
    <row r="22" spans="1:9" x14ac:dyDescent="0.3">
      <c r="A22" s="4" t="s">
        <v>39</v>
      </c>
      <c r="E22" s="37">
        <f>F22*G22</f>
        <v>-2.5982787430262257E-13</v>
      </c>
      <c r="F22" s="32">
        <f>1-F42</f>
        <v>2.4935609133081016E-13</v>
      </c>
      <c r="G22" s="32">
        <f>1-G42</f>
        <v>-1.0419952964289929</v>
      </c>
    </row>
    <row r="23" spans="1:9" x14ac:dyDescent="0.3">
      <c r="A23" s="4" t="s">
        <v>42</v>
      </c>
      <c r="B23" s="13" t="s">
        <v>43</v>
      </c>
      <c r="C23" s="13"/>
      <c r="D23" s="13"/>
      <c r="E23" s="13"/>
      <c r="F23" s="13"/>
      <c r="G23" s="13"/>
      <c r="H23" s="13"/>
      <c r="I23" s="8"/>
    </row>
    <row r="24" spans="1:9" s="5" customFormat="1" x14ac:dyDescent="0.3">
      <c r="B24" s="8"/>
      <c r="C24" s="8"/>
      <c r="D24" s="8"/>
      <c r="E24" s="8"/>
      <c r="F24" s="8" t="s">
        <v>60</v>
      </c>
      <c r="G24" s="8" t="s">
        <v>62</v>
      </c>
      <c r="H24" s="8"/>
      <c r="I24" s="8"/>
    </row>
    <row r="25" spans="1:9" s="5" customFormat="1" x14ac:dyDescent="0.3">
      <c r="A25" s="5" t="s">
        <v>8</v>
      </c>
      <c r="B25" s="8" t="s">
        <v>40</v>
      </c>
      <c r="C25" s="5" t="s">
        <v>46</v>
      </c>
      <c r="D25" s="8" t="s">
        <v>47</v>
      </c>
      <c r="E25" s="8" t="s">
        <v>41</v>
      </c>
      <c r="F25" s="8" t="s">
        <v>61</v>
      </c>
      <c r="G25" s="8" t="s">
        <v>63</v>
      </c>
      <c r="H25" s="8"/>
      <c r="I25" s="8"/>
    </row>
    <row r="26" spans="1:9" s="5" customFormat="1" x14ac:dyDescent="0.3">
      <c r="B26" s="8"/>
      <c r="C26" s="8"/>
      <c r="D26" s="8"/>
      <c r="E26" s="9"/>
      <c r="F26" s="8"/>
      <c r="G26" s="8"/>
      <c r="H26" s="9"/>
      <c r="I26" s="8"/>
    </row>
    <row r="27" spans="1:9" x14ac:dyDescent="0.3">
      <c r="A27" t="s">
        <v>15</v>
      </c>
      <c r="B27" s="11">
        <v>0</v>
      </c>
      <c r="C27" s="22">
        <f>($B$7+273.15)/'Comp-Props'!C18</f>
        <v>3.0600422275006594</v>
      </c>
      <c r="D27" s="22">
        <f>$B$8/'Comp-Props'!D18</f>
        <v>6.2882474754350239</v>
      </c>
      <c r="E27" s="23">
        <f>('Comp-Props'!D18/PK!$B$13)^(PK!$B$16-1)*EXP(5.37*PK!$B$16*(1+'Comp-Props'!E18)*(1-1/PK!C27))/PK!D27</f>
        <v>1.7377416283002112</v>
      </c>
      <c r="F27" s="23">
        <f>B27*E27/100</f>
        <v>0</v>
      </c>
      <c r="G27" s="23">
        <f>B27/E27/100</f>
        <v>0</v>
      </c>
      <c r="H27" s="25"/>
      <c r="I27" s="16"/>
    </row>
    <row r="28" spans="1:9" x14ac:dyDescent="0.3">
      <c r="A28" t="s">
        <v>16</v>
      </c>
      <c r="B28" s="11">
        <v>1.1100000000000001</v>
      </c>
      <c r="C28" s="22">
        <f>($B$7+273.15)/'Comp-Props'!C19</f>
        <v>1.2704909051062896</v>
      </c>
      <c r="D28" s="22">
        <f>$B$8/'Comp-Props'!D19</f>
        <v>2.8953878581690122</v>
      </c>
      <c r="E28" s="23">
        <f>('Comp-Props'!D19/PK!$B$13)^(PK!$B$16-1)*EXP(5.37*PK!$B$16*(1+'Comp-Props'!E19)*(1-1/PK!C28))/PK!D28</f>
        <v>1.3237010156088054</v>
      </c>
      <c r="F28" s="23">
        <f t="shared" ref="F28:F40" si="0">B28*E28/100</f>
        <v>1.4693081273257741E-2</v>
      </c>
      <c r="G28" s="23">
        <f t="shared" ref="G28:G40" si="1">B28/E28/100</f>
        <v>8.3855794239870822E-3</v>
      </c>
      <c r="H28" s="25"/>
      <c r="I28" s="16"/>
    </row>
    <row r="29" spans="1:9" x14ac:dyDescent="0.3">
      <c r="A29" t="s">
        <v>28</v>
      </c>
      <c r="B29" s="11">
        <v>0</v>
      </c>
      <c r="C29" s="22">
        <f>($B$7+273.15)/'Comp-Props'!C20</f>
        <v>1.0344842969307635</v>
      </c>
      <c r="D29" s="22">
        <f>$B$8/'Comp-Props'!D20</f>
        <v>2.3735428283180062</v>
      </c>
      <c r="E29" s="23">
        <f>('Comp-Props'!D20/PK!$B$13)^(PK!$B$16-1)*EXP(5.37*PK!$B$16*(1+'Comp-Props'!E20)*(1-1/PK!C29))/PK!D29</f>
        <v>1.113804972993282</v>
      </c>
      <c r="F29" s="23">
        <f t="shared" si="0"/>
        <v>0</v>
      </c>
      <c r="G29" s="23">
        <f t="shared" si="1"/>
        <v>0</v>
      </c>
      <c r="H29" s="25"/>
    </row>
    <row r="30" spans="1:9" x14ac:dyDescent="0.3">
      <c r="A30" t="s">
        <v>17</v>
      </c>
      <c r="B30" s="11">
        <v>39.5</v>
      </c>
      <c r="C30" s="22">
        <f>($B$7+273.15)/'Comp-Props'!C21</f>
        <v>2.0277194823364812</v>
      </c>
      <c r="D30" s="22">
        <f>$B$8/'Comp-Props'!D21</f>
        <v>4.6424311835368473</v>
      </c>
      <c r="E30" s="23">
        <f>('Comp-Props'!D21/PK!$B$13)^(PK!$B$16-1)*EXP(5.37*PK!$B$16*(1+'Comp-Props'!E21)*(1-1/PK!C30))/PK!D30</f>
        <v>1.5364742785634997</v>
      </c>
      <c r="F30" s="23">
        <f t="shared" si="0"/>
        <v>0.6069073400325824</v>
      </c>
      <c r="G30" s="23">
        <f t="shared" si="1"/>
        <v>0.25708207778739939</v>
      </c>
      <c r="H30" s="25"/>
      <c r="I30" s="16"/>
    </row>
    <row r="31" spans="1:9" x14ac:dyDescent="0.3">
      <c r="A31" t="s">
        <v>18</v>
      </c>
      <c r="B31" s="11">
        <v>9.69</v>
      </c>
      <c r="C31" s="22">
        <f>($B$7+273.15)/'Comp-Props'!C22</f>
        <v>1.2654987993887796</v>
      </c>
      <c r="D31" s="22">
        <f>$B$8/'Comp-Props'!D22</f>
        <v>4.3798674526646817</v>
      </c>
      <c r="E31" s="23">
        <f>('Comp-Props'!D22/PK!$B$13)^(PK!$B$16-1)*EXP(5.37*PK!$B$16*(1+'Comp-Props'!E22)*(1-1/PK!C31))/PK!D31</f>
        <v>1.1964337574645538</v>
      </c>
      <c r="F31" s="23">
        <f t="shared" si="0"/>
        <v>0.11593443109831526</v>
      </c>
      <c r="G31" s="23">
        <f t="shared" si="1"/>
        <v>8.0990693714082032E-2</v>
      </c>
      <c r="H31" s="25"/>
      <c r="I31" s="16"/>
    </row>
    <row r="32" spans="1:9" x14ac:dyDescent="0.3">
      <c r="A32" t="s">
        <v>19</v>
      </c>
      <c r="B32" s="11">
        <v>7.84</v>
      </c>
      <c r="C32" s="22">
        <f>($B$7+273.15)/'Comp-Props'!C23</f>
        <v>1.0451144762934919</v>
      </c>
      <c r="D32" s="22">
        <f>$B$8/'Comp-Props'!D23</f>
        <v>5.0303019931757227</v>
      </c>
      <c r="E32" s="23">
        <f>('Comp-Props'!D23/PK!$B$13)^(PK!$B$16-1)*EXP(5.37*PK!$B$16*(1+'Comp-Props'!E23)*(1-1/PK!C32))/PK!D32</f>
        <v>0.99135511836670775</v>
      </c>
      <c r="F32" s="23">
        <f t="shared" si="0"/>
        <v>7.772224127994988E-2</v>
      </c>
      <c r="G32" s="23">
        <f t="shared" si="1"/>
        <v>7.9083668957262002E-2</v>
      </c>
      <c r="H32" s="25"/>
      <c r="I32" s="16"/>
    </row>
    <row r="33" spans="1:9" x14ac:dyDescent="0.3">
      <c r="A33" t="s">
        <v>20</v>
      </c>
      <c r="B33" s="11">
        <v>1.59</v>
      </c>
      <c r="C33" s="22">
        <f>($B$7+273.15)/'Comp-Props'!C24</f>
        <v>0.94679895476073817</v>
      </c>
      <c r="D33" s="22">
        <f>$B$8/'Comp-Props'!D24</f>
        <v>5.8590332151874032</v>
      </c>
      <c r="E33" s="23">
        <f>('Comp-Props'!D24/PK!$B$13)^(PK!$B$16-1)*EXP(5.37*PK!$B$16*(1+'Comp-Props'!E24)*(1-1/PK!C33))/PK!D33</f>
        <v>0.86888192025449595</v>
      </c>
      <c r="F33" s="23">
        <f t="shared" si="0"/>
        <v>1.3815222532046487E-2</v>
      </c>
      <c r="G33" s="23">
        <f t="shared" si="1"/>
        <v>1.8299379500660899E-2</v>
      </c>
      <c r="H33" s="25"/>
      <c r="I33" s="16"/>
    </row>
    <row r="34" spans="1:9" x14ac:dyDescent="0.3">
      <c r="A34" t="s">
        <v>21</v>
      </c>
      <c r="B34" s="11">
        <v>3.7199999999999998</v>
      </c>
      <c r="C34" s="22">
        <f>($B$7+273.15)/'Comp-Props'!C25</f>
        <v>0.90894481028535579</v>
      </c>
      <c r="D34" s="22">
        <f>$B$8/'Comp-Props'!D25</f>
        <v>5.6291159254684349</v>
      </c>
      <c r="E34" s="23">
        <f>('Comp-Props'!D25/PK!$B$13)^(PK!$B$16-1)*EXP(5.37*PK!$B$16*(1+'Comp-Props'!E25)*(1-1/PK!C34))/PK!D34</f>
        <v>0.83303354975037214</v>
      </c>
      <c r="F34" s="23">
        <f t="shared" si="0"/>
        <v>3.0988848050713842E-2</v>
      </c>
      <c r="G34" s="23">
        <f t="shared" si="1"/>
        <v>4.4656064586051064E-2</v>
      </c>
      <c r="H34" s="25"/>
      <c r="I34" s="16"/>
    </row>
    <row r="35" spans="1:9" x14ac:dyDescent="0.3">
      <c r="A35" t="s">
        <v>22</v>
      </c>
      <c r="B35" s="11">
        <v>1.23</v>
      </c>
      <c r="C35" s="22">
        <f>($B$7+273.15)/'Comp-Props'!C26</f>
        <v>0.83945120185346067</v>
      </c>
      <c r="D35" s="22">
        <f>$B$8/'Comp-Props'!D26</f>
        <v>6.3217252792084135</v>
      </c>
      <c r="E35" s="23">
        <f>('Comp-Props'!D26/PK!$B$13)^(PK!$B$16-1)*EXP(5.37*PK!$B$16*(1+'Comp-Props'!E26)*(1-1/PK!C35))/PK!D35</f>
        <v>0.73485557326303841</v>
      </c>
      <c r="F35" s="23">
        <f t="shared" si="0"/>
        <v>9.038723551135372E-3</v>
      </c>
      <c r="G35" s="23">
        <f t="shared" si="1"/>
        <v>1.6737982873809228E-2</v>
      </c>
      <c r="H35" s="25"/>
      <c r="I35" s="16"/>
    </row>
    <row r="36" spans="1:9" x14ac:dyDescent="0.3">
      <c r="A36" t="s">
        <v>23</v>
      </c>
      <c r="B36" s="11">
        <v>2.11</v>
      </c>
      <c r="C36" s="22">
        <f>($B$7+273.15)/'Comp-Props'!C27</f>
        <v>0.82283017528919167</v>
      </c>
      <c r="D36" s="22">
        <f>$B$8/'Comp-Props'!D27</f>
        <v>6.3442425553587558</v>
      </c>
      <c r="E36" s="23">
        <f>('Comp-Props'!D27/PK!$B$13)^(PK!$B$16-1)*EXP(5.37*PK!$B$16*(1+'Comp-Props'!E27)*(1-1/PK!C36))/PK!D36</f>
        <v>0.7114664092393107</v>
      </c>
      <c r="F36" s="23">
        <f t="shared" si="0"/>
        <v>1.5011941234949455E-2</v>
      </c>
      <c r="G36" s="23">
        <f t="shared" si="1"/>
        <v>2.965705720746508E-2</v>
      </c>
      <c r="H36" s="25"/>
      <c r="I36" s="16"/>
    </row>
    <row r="37" spans="1:9" x14ac:dyDescent="0.3">
      <c r="A37" t="s">
        <v>24</v>
      </c>
      <c r="B37" s="11">
        <v>2.9499999999999997</v>
      </c>
      <c r="C37" s="22">
        <f>($B$7+273.15)/'Comp-Props'!C28</f>
        <v>0.76162688854828109</v>
      </c>
      <c r="D37" s="22">
        <f>$B$8/'Comp-Props'!D28</f>
        <v>7.0954451819638367</v>
      </c>
      <c r="E37" s="23">
        <f>('Comp-Props'!D28/PK!$B$13)^(PK!$B$16-1)*EXP(5.37*PK!$B$16*(1+'Comp-Props'!E28)*(1-1/PK!C37))/PK!D37</f>
        <v>0.61612844290609603</v>
      </c>
      <c r="F37" s="23">
        <f t="shared" si="0"/>
        <v>1.8175789065729829E-2</v>
      </c>
      <c r="G37" s="23">
        <f t="shared" si="1"/>
        <v>4.7879626950603354E-2</v>
      </c>
      <c r="H37" s="24"/>
      <c r="I37" s="16"/>
    </row>
    <row r="38" spans="1:9" x14ac:dyDescent="0.3">
      <c r="A38" t="s">
        <v>90</v>
      </c>
      <c r="B38" s="11">
        <v>15.78</v>
      </c>
      <c r="C38" s="22">
        <f>($B$7+273.15)/'Comp-Props'!C29</f>
        <v>0.6529047395588925</v>
      </c>
      <c r="D38" s="22">
        <f>$B$8/'Comp-Props'!D29</f>
        <v>7.5683593749999991</v>
      </c>
      <c r="E38" s="23">
        <f>('Comp-Props'!D29/PK!$B$13)^(PK!$B$16-1)*EXP(5.37*PK!$B$16*(1+'Comp-Props'!E29)*(1-1/PK!C38))/PK!D38</f>
        <v>0.46327942019062068</v>
      </c>
      <c r="F38" s="23">
        <f t="shared" ref="F38:F39" si="2">B38*E38/100</f>
        <v>7.3105492506079936E-2</v>
      </c>
      <c r="G38" s="23">
        <f t="shared" ref="G38:G39" si="3">B38/E38/100</f>
        <v>0.34061517331176011</v>
      </c>
      <c r="H38" s="26"/>
      <c r="I38" s="19"/>
    </row>
    <row r="39" spans="1:9" x14ac:dyDescent="0.3">
      <c r="A39" t="s">
        <v>91</v>
      </c>
      <c r="B39" s="11">
        <v>12.43</v>
      </c>
      <c r="C39" s="22">
        <f>($B$7+273.15)/'Comp-Props'!C30</f>
        <v>0.51303097345132731</v>
      </c>
      <c r="D39" s="22">
        <f>$B$8/'Comp-Props'!D30</f>
        <v>13.185878349638452</v>
      </c>
      <c r="E39" s="23">
        <f>('Comp-Props'!D30/PK!$B$13)^(PK!$B$16-1)*EXP(5.37*PK!$B$16*(1+'Comp-Props'!E30)*(1-1/PK!C39))/PK!D39</f>
        <v>0.19072207716961501</v>
      </c>
      <c r="F39" s="23">
        <f t="shared" si="2"/>
        <v>2.3706754192183144E-2</v>
      </c>
      <c r="G39" s="23">
        <f t="shared" si="3"/>
        <v>0.65173367365046142</v>
      </c>
      <c r="H39" s="26"/>
      <c r="I39" s="19"/>
    </row>
    <row r="40" spans="1:9" x14ac:dyDescent="0.3">
      <c r="A40" t="s">
        <v>92</v>
      </c>
      <c r="B40" s="11">
        <v>2.0500000000000003</v>
      </c>
      <c r="C40" s="22">
        <f>($B$7+273.15)/'Comp-Props'!C31</f>
        <v>0.4118583861227873</v>
      </c>
      <c r="D40" s="22">
        <f>$B$8/'Comp-Props'!D31</f>
        <v>23.031203566121842</v>
      </c>
      <c r="E40" s="23">
        <f>('Comp-Props'!D31/PK!$B$13)^(PK!$B$16-1)*EXP(5.37*PK!$B$16*(1+'Comp-Props'!E31)*(1-1/PK!C40))/PK!D40</f>
        <v>4.3909033307680249E-2</v>
      </c>
      <c r="F40" s="23">
        <f t="shared" si="0"/>
        <v>9.0013518280744522E-4</v>
      </c>
      <c r="G40" s="23">
        <f t="shared" si="1"/>
        <v>0.46687431846545097</v>
      </c>
      <c r="H40" s="26"/>
      <c r="I40" s="19"/>
    </row>
    <row r="42" spans="1:9" x14ac:dyDescent="0.3">
      <c r="B42" s="6">
        <f>SUM(B27:B40)</f>
        <v>100.00000000000001</v>
      </c>
      <c r="F42" s="6">
        <f>SUM(F27:F40)</f>
        <v>0.99999999999975064</v>
      </c>
      <c r="G42" s="6">
        <f>SUM(G27:G40)</f>
        <v>2.0419952964289929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/>
  </sheetViews>
  <sheetFormatPr defaultColWidth="12.77734375" defaultRowHeight="14.4" x14ac:dyDescent="0.3"/>
  <sheetData>
    <row r="1" spans="1:7" x14ac:dyDescent="0.3">
      <c r="A1" s="4" t="s">
        <v>79</v>
      </c>
    </row>
    <row r="2" spans="1:7" x14ac:dyDescent="0.3">
      <c r="A2" t="s">
        <v>4</v>
      </c>
      <c r="G2" s="4" t="s">
        <v>80</v>
      </c>
    </row>
    <row r="3" spans="1:7" x14ac:dyDescent="0.3">
      <c r="A3">
        <v>20180213</v>
      </c>
      <c r="G3" s="4" t="s">
        <v>81</v>
      </c>
    </row>
    <row r="4" spans="1:7" x14ac:dyDescent="0.3">
      <c r="G4" s="40" t="s">
        <v>75</v>
      </c>
    </row>
    <row r="5" spans="1:7" x14ac:dyDescent="0.3">
      <c r="G5" s="40" t="s">
        <v>95</v>
      </c>
    </row>
    <row r="6" spans="1:7" x14ac:dyDescent="0.3">
      <c r="A6" s="4" t="s">
        <v>7</v>
      </c>
      <c r="G6" s="40" t="s">
        <v>94</v>
      </c>
    </row>
    <row r="7" spans="1:7" x14ac:dyDescent="0.3">
      <c r="A7" t="s">
        <v>2</v>
      </c>
      <c r="B7" s="36">
        <f>(236-32)/1.8</f>
        <v>113.33333333333333</v>
      </c>
      <c r="C7" t="s">
        <v>3</v>
      </c>
      <c r="G7" s="40" t="s">
        <v>85</v>
      </c>
    </row>
    <row r="8" spans="1:7" x14ac:dyDescent="0.3">
      <c r="A8" t="s">
        <v>68</v>
      </c>
      <c r="B8" s="35">
        <v>213.73753385001751</v>
      </c>
      <c r="C8" t="s">
        <v>1</v>
      </c>
      <c r="G8" s="4" t="s">
        <v>84</v>
      </c>
    </row>
    <row r="9" spans="1:7" x14ac:dyDescent="0.3">
      <c r="B9" s="31">
        <v>3100</v>
      </c>
      <c r="C9" t="s">
        <v>6</v>
      </c>
      <c r="G9" s="40" t="s">
        <v>76</v>
      </c>
    </row>
    <row r="10" spans="1:7" x14ac:dyDescent="0.3">
      <c r="A10" t="s">
        <v>59</v>
      </c>
      <c r="B10" s="3">
        <f>IF(ABS(F22)&lt;ABS(G22),0,1)</f>
        <v>0</v>
      </c>
      <c r="G10" s="40" t="s">
        <v>87</v>
      </c>
    </row>
    <row r="11" spans="1:7" x14ac:dyDescent="0.3">
      <c r="A11" t="s">
        <v>58</v>
      </c>
      <c r="B11" s="33" t="s">
        <v>60</v>
      </c>
      <c r="G11" s="40" t="s">
        <v>86</v>
      </c>
    </row>
    <row r="12" spans="1:7" x14ac:dyDescent="0.3">
      <c r="A12" t="s">
        <v>5</v>
      </c>
      <c r="B12" s="36">
        <v>279.2327496062843</v>
      </c>
      <c r="C12" t="s">
        <v>1</v>
      </c>
      <c r="G12" s="40"/>
    </row>
    <row r="13" spans="1:7" x14ac:dyDescent="0.3">
      <c r="B13" s="3">
        <f>B12*14.50377</f>
        <v>4049.927576757138</v>
      </c>
      <c r="C13" t="s">
        <v>6</v>
      </c>
      <c r="G13" s="40"/>
    </row>
    <row r="14" spans="1:7" x14ac:dyDescent="0.3">
      <c r="A14" t="s">
        <v>44</v>
      </c>
      <c r="B14" s="42">
        <v>0.7</v>
      </c>
      <c r="G14" s="40"/>
    </row>
    <row r="15" spans="1:7" x14ac:dyDescent="0.3">
      <c r="A15" t="s">
        <v>45</v>
      </c>
      <c r="B15" s="21">
        <f>1-(B8/B12)^B14</f>
        <v>0.17064568440431682</v>
      </c>
      <c r="G15" s="4"/>
    </row>
    <row r="16" spans="1:7" x14ac:dyDescent="0.3">
      <c r="A16" t="s">
        <v>71</v>
      </c>
      <c r="B16" s="41">
        <v>230.06198140152759</v>
      </c>
      <c r="C16" t="s">
        <v>1</v>
      </c>
      <c r="G16" s="40"/>
    </row>
    <row r="17" spans="1:9" x14ac:dyDescent="0.3">
      <c r="B17" s="3">
        <f>B16*14.50377</f>
        <v>3336.7660639920337</v>
      </c>
      <c r="C17" t="s">
        <v>6</v>
      </c>
      <c r="G17" s="40"/>
    </row>
    <row r="18" spans="1:9" x14ac:dyDescent="0.3">
      <c r="G18" s="40"/>
    </row>
    <row r="19" spans="1:9" x14ac:dyDescent="0.3">
      <c r="A19" s="39"/>
      <c r="B19" s="38"/>
    </row>
    <row r="21" spans="1:9" x14ac:dyDescent="0.3">
      <c r="E21" s="5" t="s">
        <v>66</v>
      </c>
      <c r="F21" s="5" t="s">
        <v>64</v>
      </c>
      <c r="G21" s="5" t="s">
        <v>65</v>
      </c>
    </row>
    <row r="22" spans="1:9" x14ac:dyDescent="0.3">
      <c r="A22" s="4" t="s">
        <v>39</v>
      </c>
      <c r="E22" s="37">
        <f>F22*G22</f>
        <v>-6.7673633097565865E-9</v>
      </c>
      <c r="F22" s="32">
        <f>1-F42</f>
        <v>6.494620397035078E-9</v>
      </c>
      <c r="G22" s="32">
        <f>1-G42</f>
        <v>-1.0419952046536887</v>
      </c>
    </row>
    <row r="23" spans="1:9" x14ac:dyDescent="0.3">
      <c r="A23" s="4" t="s">
        <v>42</v>
      </c>
      <c r="B23" s="13" t="s">
        <v>43</v>
      </c>
      <c r="C23" s="13"/>
      <c r="D23" s="13"/>
      <c r="E23" s="13"/>
      <c r="F23" s="13"/>
      <c r="G23" s="13"/>
      <c r="H23" s="13"/>
      <c r="I23" s="8"/>
    </row>
    <row r="24" spans="1:9" s="5" customFormat="1" x14ac:dyDescent="0.3">
      <c r="B24" s="8"/>
      <c r="C24" s="8"/>
      <c r="D24" s="8"/>
      <c r="E24" s="8"/>
      <c r="F24" s="8" t="s">
        <v>60</v>
      </c>
      <c r="G24" s="8" t="s">
        <v>62</v>
      </c>
      <c r="H24" s="8"/>
      <c r="I24" s="8"/>
    </row>
    <row r="25" spans="1:9" s="5" customFormat="1" x14ac:dyDescent="0.3">
      <c r="A25" s="5" t="s">
        <v>8</v>
      </c>
      <c r="B25" s="8" t="s">
        <v>40</v>
      </c>
      <c r="C25" s="5" t="s">
        <v>46</v>
      </c>
      <c r="D25" s="8" t="s">
        <v>47</v>
      </c>
      <c r="E25" s="8" t="s">
        <v>41</v>
      </c>
      <c r="F25" s="8" t="s">
        <v>61</v>
      </c>
      <c r="G25" s="8" t="s">
        <v>63</v>
      </c>
      <c r="H25" s="8"/>
      <c r="I25" s="8"/>
    </row>
    <row r="26" spans="1:9" s="5" customFormat="1" x14ac:dyDescent="0.3">
      <c r="B26" s="8"/>
      <c r="C26" s="8"/>
      <c r="D26" s="8"/>
      <c r="E26" s="9"/>
      <c r="F26" s="8"/>
      <c r="G26" s="8"/>
      <c r="H26" s="9"/>
      <c r="I26" s="8"/>
    </row>
    <row r="27" spans="1:9" x14ac:dyDescent="0.3">
      <c r="A27" t="s">
        <v>15</v>
      </c>
      <c r="B27" s="11">
        <v>0</v>
      </c>
      <c r="C27" s="22">
        <f>($B$7+273.15)/'Comp-Props'!C18</f>
        <v>3.0600422275006594</v>
      </c>
      <c r="D27" s="22">
        <f>$B$8/'Comp-Props'!D18</f>
        <v>6.2882475389825681</v>
      </c>
      <c r="E27" s="23">
        <f>('Comp-Props'!D18/PSAT!$B$12)^(PSAT!$B$15-1)*EXP(5.37*PSAT!$B$15*(1+'Comp-Props'!E18)*(1-1/PSAT!C27))/PSAT!D27</f>
        <v>1.7377415936945639</v>
      </c>
      <c r="F27" s="23">
        <f>B27*E27/100</f>
        <v>0</v>
      </c>
      <c r="G27" s="23">
        <f>B27/E27/100</f>
        <v>0</v>
      </c>
      <c r="H27" s="25"/>
      <c r="I27" s="16"/>
    </row>
    <row r="28" spans="1:9" x14ac:dyDescent="0.3">
      <c r="A28" t="s">
        <v>16</v>
      </c>
      <c r="B28" s="11">
        <v>1.1100000000000001</v>
      </c>
      <c r="C28" s="22">
        <f>($B$7+273.15)/'Comp-Props'!C19</f>
        <v>1.2704909051062896</v>
      </c>
      <c r="D28" s="22">
        <f>$B$8/'Comp-Props'!D19</f>
        <v>2.8953878874291186</v>
      </c>
      <c r="E28" s="23">
        <f>('Comp-Props'!D19/PSAT!$B$12)^(PSAT!$B$15-1)*EXP(5.37*PSAT!$B$15*(1+'Comp-Props'!E19)*(1-1/PSAT!C28))/PSAT!D28</f>
        <v>1.3237010016340438</v>
      </c>
      <c r="F28" s="23">
        <f t="shared" ref="F28:F40" si="0">B28*E28/100</f>
        <v>1.4693081118137887E-2</v>
      </c>
      <c r="G28" s="23">
        <f t="shared" ref="G28:G40" si="1">B28/E28/100</f>
        <v>8.3855795125164952E-3</v>
      </c>
      <c r="H28" s="25"/>
      <c r="I28" s="16"/>
    </row>
    <row r="29" spans="1:9" x14ac:dyDescent="0.3">
      <c r="A29" t="s">
        <v>28</v>
      </c>
      <c r="B29" s="11">
        <v>0</v>
      </c>
      <c r="C29" s="22">
        <f>($B$7+273.15)/'Comp-Props'!C20</f>
        <v>1.0344842969307635</v>
      </c>
      <c r="D29" s="22">
        <f>$B$8/'Comp-Props'!D20</f>
        <v>2.3735428523044702</v>
      </c>
      <c r="E29" s="23">
        <f>('Comp-Props'!D20/PSAT!$B$12)^(PSAT!$B$15-1)*EXP(5.37*PSAT!$B$15*(1+'Comp-Props'!E20)*(1-1/PSAT!C29))/PSAT!D29</f>
        <v>1.1138049678457584</v>
      </c>
      <c r="F29" s="23">
        <f t="shared" si="0"/>
        <v>0</v>
      </c>
      <c r="G29" s="23">
        <f t="shared" si="1"/>
        <v>0</v>
      </c>
      <c r="H29" s="25"/>
      <c r="I29" s="16"/>
    </row>
    <row r="30" spans="1:9" x14ac:dyDescent="0.3">
      <c r="A30" t="s">
        <v>17</v>
      </c>
      <c r="B30" s="11">
        <v>39.5</v>
      </c>
      <c r="C30" s="22">
        <f>($B$7+273.15)/'Comp-Props'!C21</f>
        <v>2.0277194823364812</v>
      </c>
      <c r="D30" s="22">
        <f>$B$8/'Comp-Props'!D21</f>
        <v>4.6424312304521616</v>
      </c>
      <c r="E30" s="23">
        <f>('Comp-Props'!D21/PSAT!$B$12)^(PSAT!$B$15-1)*EXP(5.37*PSAT!$B$15*(1+'Comp-Props'!E21)*(1-1/PSAT!C30))/PSAT!D30</f>
        <v>1.5364742544684318</v>
      </c>
      <c r="F30" s="23">
        <f t="shared" si="0"/>
        <v>0.60690733051503054</v>
      </c>
      <c r="G30" s="23">
        <f t="shared" si="1"/>
        <v>0.25708208181897368</v>
      </c>
      <c r="H30" s="25"/>
      <c r="I30" s="16"/>
    </row>
    <row r="31" spans="1:9" x14ac:dyDescent="0.3">
      <c r="A31" t="s">
        <v>18</v>
      </c>
      <c r="B31" s="11">
        <v>9.69</v>
      </c>
      <c r="C31" s="22">
        <f>($B$7+273.15)/'Comp-Props'!C22</f>
        <v>1.2654987993887796</v>
      </c>
      <c r="D31" s="22">
        <f>$B$8/'Comp-Props'!D22</f>
        <v>4.3798674969265887</v>
      </c>
      <c r="E31" s="23">
        <f>('Comp-Props'!D22/PSAT!$B$12)^(PSAT!$B$15-1)*EXP(5.37*PSAT!$B$15*(1+'Comp-Props'!E22)*(1-1/PSAT!C31))/PSAT!D31</f>
        <v>1.1964337489914771</v>
      </c>
      <c r="F31" s="23">
        <f t="shared" si="0"/>
        <v>0.11593443027727413</v>
      </c>
      <c r="G31" s="23">
        <f t="shared" si="1"/>
        <v>8.0990694287653597E-2</v>
      </c>
      <c r="H31" s="25"/>
      <c r="I31" s="16"/>
    </row>
    <row r="32" spans="1:9" x14ac:dyDescent="0.3">
      <c r="A32" t="s">
        <v>19</v>
      </c>
      <c r="B32" s="11">
        <v>7.84</v>
      </c>
      <c r="C32" s="22">
        <f>($B$7+273.15)/'Comp-Props'!C23</f>
        <v>1.0451144762934919</v>
      </c>
      <c r="D32" s="22">
        <f>$B$8/'Comp-Props'!D23</f>
        <v>5.0303020440107673</v>
      </c>
      <c r="E32" s="23">
        <f>('Comp-Props'!D23/PSAT!$B$12)^(PSAT!$B$15-1)*EXP(5.37*PSAT!$B$15*(1+'Comp-Props'!E23)*(1-1/PSAT!C32))/PSAT!D32</f>
        <v>0.99135511775458474</v>
      </c>
      <c r="F32" s="23">
        <f t="shared" si="0"/>
        <v>7.7722241231959449E-2</v>
      </c>
      <c r="G32" s="23">
        <f t="shared" si="1"/>
        <v>7.9083669006093066E-2</v>
      </c>
      <c r="H32" s="25"/>
      <c r="I32" s="16"/>
    </row>
    <row r="33" spans="1:9" x14ac:dyDescent="0.3">
      <c r="A33" t="s">
        <v>20</v>
      </c>
      <c r="B33" s="11">
        <v>1.59</v>
      </c>
      <c r="C33" s="22">
        <f>($B$7+273.15)/'Comp-Props'!C24</f>
        <v>0.94679895476073817</v>
      </c>
      <c r="D33" s="22">
        <f>$B$8/'Comp-Props'!D24</f>
        <v>5.8590332743974107</v>
      </c>
      <c r="E33" s="23">
        <f>('Comp-Props'!D24/PSAT!$B$12)^(PSAT!$B$15-1)*EXP(5.37*PSAT!$B$15*(1+'Comp-Props'!E24)*(1-1/PSAT!C33))/PSAT!D33</f>
        <v>0.86888192365715977</v>
      </c>
      <c r="F33" s="23">
        <f t="shared" si="0"/>
        <v>1.3815222586148842E-2</v>
      </c>
      <c r="G33" s="23">
        <f t="shared" si="1"/>
        <v>1.8299379428997956E-2</v>
      </c>
      <c r="H33" s="25"/>
      <c r="I33" s="16"/>
    </row>
    <row r="34" spans="1:9" x14ac:dyDescent="0.3">
      <c r="A34" t="s">
        <v>21</v>
      </c>
      <c r="B34" s="11">
        <v>3.7199999999999998</v>
      </c>
      <c r="C34" s="22">
        <f>($B$7+273.15)/'Comp-Props'!C25</f>
        <v>0.90894481028535579</v>
      </c>
      <c r="D34" s="22">
        <f>$B$8/'Comp-Props'!D25</f>
        <v>5.6291159823549517</v>
      </c>
      <c r="E34" s="23">
        <f>('Comp-Props'!D25/PSAT!$B$12)^(PSAT!$B$15-1)*EXP(5.37*PSAT!$B$15*(1+'Comp-Props'!E25)*(1-1/PSAT!C34))/PSAT!D34</f>
        <v>0.83303355421935044</v>
      </c>
      <c r="F34" s="23">
        <f t="shared" si="0"/>
        <v>3.0988848216959831E-2</v>
      </c>
      <c r="G34" s="23">
        <f t="shared" si="1"/>
        <v>4.4656064346484496E-2</v>
      </c>
      <c r="H34" s="25"/>
      <c r="I34" s="16"/>
    </row>
    <row r="35" spans="1:9" x14ac:dyDescent="0.3">
      <c r="A35" t="s">
        <v>22</v>
      </c>
      <c r="B35" s="11">
        <v>1.23</v>
      </c>
      <c r="C35" s="22">
        <f>($B$7+273.15)/'Comp-Props'!C26</f>
        <v>0.83945120185346067</v>
      </c>
      <c r="D35" s="22">
        <f>$B$8/'Comp-Props'!D26</f>
        <v>6.3217253430942772</v>
      </c>
      <c r="E35" s="23">
        <f>('Comp-Props'!D26/PSAT!$B$12)^(PSAT!$B$15-1)*EXP(5.37*PSAT!$B$15*(1+'Comp-Props'!E26)*(1-1/PSAT!C35))/PSAT!D35</f>
        <v>0.73485558037351095</v>
      </c>
      <c r="F35" s="23">
        <f t="shared" si="0"/>
        <v>9.0387236385941847E-3</v>
      </c>
      <c r="G35" s="23">
        <f t="shared" si="1"/>
        <v>1.673798271185228E-2</v>
      </c>
      <c r="H35" s="25"/>
      <c r="I35" s="16"/>
    </row>
    <row r="36" spans="1:9" x14ac:dyDescent="0.3">
      <c r="A36" t="s">
        <v>23</v>
      </c>
      <c r="B36" s="11">
        <v>2.11</v>
      </c>
      <c r="C36" s="22">
        <f>($B$7+273.15)/'Comp-Props'!C27</f>
        <v>0.82283017528919167</v>
      </c>
      <c r="D36" s="22">
        <f>$B$8/'Comp-Props'!D27</f>
        <v>6.3442426194721735</v>
      </c>
      <c r="E36" s="23">
        <f>('Comp-Props'!D27/PSAT!$B$12)^(PSAT!$B$15-1)*EXP(5.37*PSAT!$B$15*(1+'Comp-Props'!E27)*(1-1/PSAT!C36))/PSAT!D36</f>
        <v>0.71146641691466495</v>
      </c>
      <c r="F36" s="23">
        <f t="shared" si="0"/>
        <v>1.5011941396899429E-2</v>
      </c>
      <c r="G36" s="23">
        <f t="shared" si="1"/>
        <v>2.965705688752247E-2</v>
      </c>
      <c r="H36" s="25"/>
      <c r="I36" s="16"/>
    </row>
    <row r="37" spans="1:9" x14ac:dyDescent="0.3">
      <c r="A37" t="s">
        <v>24</v>
      </c>
      <c r="B37" s="11">
        <v>2.9499999999999997</v>
      </c>
      <c r="C37" s="22">
        <f>($B$7+273.15)/'Comp-Props'!C28</f>
        <v>0.76162688854828109</v>
      </c>
      <c r="D37" s="22">
        <f>$B$8/'Comp-Props'!D28</f>
        <v>7.0954452536687311</v>
      </c>
      <c r="E37" s="23">
        <f>('Comp-Props'!D28/PSAT!$B$12)^(PSAT!$B$15-1)*EXP(5.37*PSAT!$B$15*(1+'Comp-Props'!E28)*(1-1/PSAT!C37))/PSAT!D37</f>
        <v>0.61612845260056304</v>
      </c>
      <c r="F37" s="23">
        <f t="shared" si="0"/>
        <v>1.8175789351716608E-2</v>
      </c>
      <c r="G37" s="23">
        <f t="shared" si="1"/>
        <v>4.7879626197241842E-2</v>
      </c>
      <c r="H37" s="24"/>
      <c r="I37" s="19"/>
    </row>
    <row r="38" spans="1:9" x14ac:dyDescent="0.3">
      <c r="A38" t="s">
        <v>90</v>
      </c>
      <c r="B38" s="11">
        <v>15.78</v>
      </c>
      <c r="C38" s="22">
        <f>($B$7+273.15)/'Comp-Props'!C29</f>
        <v>0.6529047395588925</v>
      </c>
      <c r="D38" s="22">
        <f>$B$8/'Comp-Props'!D29</f>
        <v>7.5683594514840529</v>
      </c>
      <c r="E38" s="23">
        <f>('Comp-Props'!D29/PSAT!$B$12)^(PSAT!$B$15-1)*EXP(5.37*PSAT!$B$15*(1+'Comp-Props'!E29)*(1-1/PSAT!C38))/PSAT!D38</f>
        <v>0.46327943202149224</v>
      </c>
      <c r="F38" s="23">
        <f t="shared" ref="F38:F39" si="2">B38*E38/100</f>
        <v>7.3105494372991464E-2</v>
      </c>
      <c r="G38" s="23">
        <f t="shared" ref="G38:G39" si="3">B38/E38/100</f>
        <v>0.34061516461339347</v>
      </c>
      <c r="H38" s="26"/>
      <c r="I38" s="20"/>
    </row>
    <row r="39" spans="1:9" x14ac:dyDescent="0.3">
      <c r="A39" t="s">
        <v>91</v>
      </c>
      <c r="B39" s="11">
        <v>12.43</v>
      </c>
      <c r="C39" s="22">
        <f>($B$7+273.15)/'Comp-Props'!C30</f>
        <v>0.51303097345132731</v>
      </c>
      <c r="D39" s="22">
        <f>$B$8/'Comp-Props'!D30</f>
        <v>13.185878482891827</v>
      </c>
      <c r="E39" s="23">
        <f>('Comp-Props'!D30/PSAT!$B$12)^(PSAT!$B$15-1)*EXP(5.37*PSAT!$B$15*(1+'Comp-Props'!E30)*(1-1/PSAT!C39))/PSAT!D39</f>
        <v>0.19072208785965417</v>
      </c>
      <c r="F39" s="23">
        <f t="shared" si="2"/>
        <v>2.3706755520955011E-2</v>
      </c>
      <c r="G39" s="23">
        <f t="shared" si="3"/>
        <v>0.65173363712056309</v>
      </c>
      <c r="H39" s="26"/>
      <c r="I39" s="20"/>
    </row>
    <row r="40" spans="1:9" x14ac:dyDescent="0.3">
      <c r="A40" t="s">
        <v>92</v>
      </c>
      <c r="B40" s="11">
        <v>2.0500000000000003</v>
      </c>
      <c r="C40" s="22">
        <f>($B$7+273.15)/'Comp-Props'!C31</f>
        <v>0.4118583861227873</v>
      </c>
      <c r="D40" s="22">
        <f>$B$8/'Comp-Props'!D31</f>
        <v>23.03120379886975</v>
      </c>
      <c r="E40" s="23">
        <f>('Comp-Props'!D31/PSAT!$B$12)^(PSAT!$B$15-1)*EXP(5.37*PSAT!$B$15*(1+'Comp-Props'!E31)*(1-1/PSAT!C40))/PSAT!D40</f>
        <v>4.3909037985962157E-2</v>
      </c>
      <c r="F40" s="23">
        <f t="shared" si="0"/>
        <v>9.0013527871222435E-4</v>
      </c>
      <c r="G40" s="23">
        <f t="shared" si="1"/>
        <v>0.46687426872239629</v>
      </c>
      <c r="H40" s="26"/>
      <c r="I40" s="20"/>
    </row>
    <row r="42" spans="1:9" x14ac:dyDescent="0.3">
      <c r="B42" s="6">
        <f>SUM(B27:B40)</f>
        <v>100.00000000000001</v>
      </c>
      <c r="F42" s="6">
        <f>SUM(F27:F40)</f>
        <v>0.9999999935053796</v>
      </c>
      <c r="G42" s="6">
        <f>SUM(G27:G40)</f>
        <v>2.0419952046536887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</vt:vector>
  </HeadingPairs>
  <TitlesOfParts>
    <vt:vector size="9" baseType="lpstr">
      <vt:lpstr>SepOpt</vt:lpstr>
      <vt:lpstr>Flash-1</vt:lpstr>
      <vt:lpstr>Flash-2</vt:lpstr>
      <vt:lpstr>Comp-Props</vt:lpstr>
      <vt:lpstr>PK</vt:lpstr>
      <vt:lpstr>PSAT</vt:lpstr>
      <vt:lpstr>Eqs</vt:lpstr>
      <vt:lpstr>Fig-no-psp1</vt:lpstr>
      <vt:lpstr>Fig-Vo-psp1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Hays Whitson</dc:creator>
  <cp:lastModifiedBy>Curtis Hays Whitson</cp:lastModifiedBy>
  <dcterms:created xsi:type="dcterms:W3CDTF">2018-02-01T11:12:33Z</dcterms:created>
  <dcterms:modified xsi:type="dcterms:W3CDTF">2018-02-15T12:58:52Z</dcterms:modified>
</cp:coreProperties>
</file>