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TPG4145-2018\ClassExercises\"/>
    </mc:Choice>
  </mc:AlternateContent>
  <bookViews>
    <workbookView xWindow="0" yWindow="0" windowWidth="23040" windowHeight="8808"/>
  </bookViews>
  <sheets>
    <sheet name="Comp-Props" sheetId="1" r:id="rId1"/>
    <sheet name="PK" sheetId="5" r:id="rId2"/>
    <sheet name="PSAT" sheetId="7" r:id="rId3"/>
    <sheet name="Flash-1" sheetId="3" r:id="rId4"/>
    <sheet name="Eqs" sheetId="4" r:id="rId5"/>
  </sheets>
  <definedNames>
    <definedName name="solver_adj" localSheetId="3" hidden="1">'Flash-1'!$B$16</definedName>
    <definedName name="solver_adj" localSheetId="1" hidden="1">PK!$B$13</definedName>
    <definedName name="solver_adj" localSheetId="2" hidden="1">PSAT!$B$8</definedName>
    <definedName name="solver_cvg" localSheetId="3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1" hidden="1">1</definedName>
    <definedName name="solver_drv" localSheetId="2" hidden="1">1</definedName>
    <definedName name="solver_eng" localSheetId="3" hidden="1">1</definedName>
    <definedName name="solver_eng" localSheetId="1" hidden="1">1</definedName>
    <definedName name="solver_eng" localSheetId="2" hidden="1">1</definedName>
    <definedName name="solver_est" localSheetId="3" hidden="1">1</definedName>
    <definedName name="solver_est" localSheetId="1" hidden="1">1</definedName>
    <definedName name="solver_est" localSheetId="2" hidden="1">1</definedName>
    <definedName name="solver_itr" localSheetId="3" hidden="1">2147483647</definedName>
    <definedName name="solver_itr" localSheetId="1" hidden="1">2147483647</definedName>
    <definedName name="solver_itr" localSheetId="2" hidden="1">2147483647</definedName>
    <definedName name="solver_lhs1" localSheetId="3" hidden="1">'Flash-1'!$B$16</definedName>
    <definedName name="solver_lhs1" localSheetId="1" hidden="1">PK!$B$13</definedName>
    <definedName name="solver_lhs1" localSheetId="2" hidden="1">PSAT!$B$8</definedName>
    <definedName name="solver_lhs2" localSheetId="3" hidden="1">'Flash-1'!$B$16</definedName>
    <definedName name="solver_lhs2" localSheetId="1" hidden="1">PK!$B$13</definedName>
    <definedName name="solver_lhs2" localSheetId="2" hidden="1">PSAT!$B$8</definedName>
    <definedName name="solver_lhs3" localSheetId="1" hidden="1">PK!#REF!</definedName>
    <definedName name="solver_lhs3" localSheetId="2" hidden="1">PSAT!#REF!</definedName>
    <definedName name="solver_lhs4" localSheetId="1" hidden="1">PK!#REF!</definedName>
    <definedName name="solver_lhs4" localSheetId="2" hidden="1">PSAT!#REF!</definedName>
    <definedName name="solver_lhs5" localSheetId="1" hidden="1">PK!#REF!</definedName>
    <definedName name="solver_lhs5" localSheetId="2" hidden="1">PSAT!#REF!</definedName>
    <definedName name="solver_mip" localSheetId="3" hidden="1">2147483647</definedName>
    <definedName name="solver_mip" localSheetId="1" hidden="1">2147483647</definedName>
    <definedName name="solver_mip" localSheetId="2" hidden="1">2147483647</definedName>
    <definedName name="solver_mni" localSheetId="3" hidden="1">30</definedName>
    <definedName name="solver_mni" localSheetId="1" hidden="1">30</definedName>
    <definedName name="solver_mni" localSheetId="2" hidden="1">30</definedName>
    <definedName name="solver_mrt" localSheetId="3" hidden="1">0.075</definedName>
    <definedName name="solver_mrt" localSheetId="1" hidden="1">0.075</definedName>
    <definedName name="solver_mrt" localSheetId="2" hidden="1">0.075</definedName>
    <definedName name="solver_msl" localSheetId="3" hidden="1">2</definedName>
    <definedName name="solver_msl" localSheetId="1" hidden="1">2</definedName>
    <definedName name="solver_msl" localSheetId="2" hidden="1">2</definedName>
    <definedName name="solver_neg" localSheetId="3" hidden="1">1</definedName>
    <definedName name="solver_neg" localSheetId="1" hidden="1">1</definedName>
    <definedName name="solver_neg" localSheetId="2" hidden="1">1</definedName>
    <definedName name="solver_nod" localSheetId="3" hidden="1">2147483647</definedName>
    <definedName name="solver_nod" localSheetId="1" hidden="1">2147483647</definedName>
    <definedName name="solver_nod" localSheetId="2" hidden="1">2147483647</definedName>
    <definedName name="solver_num" localSheetId="3" hidden="1">2</definedName>
    <definedName name="solver_num" localSheetId="1" hidden="1">1</definedName>
    <definedName name="solver_num" localSheetId="2" hidden="1">2</definedName>
    <definedName name="solver_nwt" localSheetId="3" hidden="1">1</definedName>
    <definedName name="solver_nwt" localSheetId="1" hidden="1">1</definedName>
    <definedName name="solver_nwt" localSheetId="2" hidden="1">1</definedName>
    <definedName name="solver_opt" localSheetId="3" hidden="1">'Flash-1'!$G$20</definedName>
    <definedName name="solver_opt" localSheetId="1" hidden="1">PK!$E$22</definedName>
    <definedName name="solver_opt" localSheetId="2" hidden="1">PSAT!$E$22</definedName>
    <definedName name="solver_pre" localSheetId="3" hidden="1">0.000001</definedName>
    <definedName name="solver_pre" localSheetId="1" hidden="1">0.0000000001</definedName>
    <definedName name="solver_pre" localSheetId="2" hidden="1">0.0000000001</definedName>
    <definedName name="solver_rbv" localSheetId="3" hidden="1">1</definedName>
    <definedName name="solver_rbv" localSheetId="1" hidden="1">1</definedName>
    <definedName name="solver_rbv" localSheetId="2" hidden="1">1</definedName>
    <definedName name="solver_rel1" localSheetId="3" hidden="1">1</definedName>
    <definedName name="solver_rel1" localSheetId="1" hidden="1">3</definedName>
    <definedName name="solver_rel1" localSheetId="2" hidden="1">1</definedName>
    <definedName name="solver_rel2" localSheetId="3" hidden="1">3</definedName>
    <definedName name="solver_rel2" localSheetId="1" hidden="1">3</definedName>
    <definedName name="solver_rel2" localSheetId="2" hidden="1">3</definedName>
    <definedName name="solver_rel3" localSheetId="1" hidden="1">3</definedName>
    <definedName name="solver_rel3" localSheetId="2" hidden="1">3</definedName>
    <definedName name="solver_rel4" localSheetId="1" hidden="1">3</definedName>
    <definedName name="solver_rel4" localSheetId="2" hidden="1">3</definedName>
    <definedName name="solver_rel5" localSheetId="1" hidden="1">3</definedName>
    <definedName name="solver_rel5" localSheetId="2" hidden="1">3</definedName>
    <definedName name="solver_rhs1" localSheetId="3" hidden="1">'Flash-1'!$B$15*0.9999999</definedName>
    <definedName name="solver_rhs1" localSheetId="1" hidden="1">PK!$B$17</definedName>
    <definedName name="solver_rhs1" localSheetId="2" hidden="1">PSAT!$B$16</definedName>
    <definedName name="solver_rhs2" localSheetId="3" hidden="1">'Flash-1'!$B$14*1.000001</definedName>
    <definedName name="solver_rhs2" localSheetId="1" hidden="1">PK!$B$17</definedName>
    <definedName name="solver_rhs2" localSheetId="2" hidden="1">1</definedName>
    <definedName name="solver_rhs3" localSheetId="1" hidden="1">1</definedName>
    <definedName name="solver_rhs3" localSheetId="2" hidden="1">1</definedName>
    <definedName name="solver_rhs4" localSheetId="1" hidden="1">1</definedName>
    <definedName name="solver_rhs4" localSheetId="2" hidden="1">1</definedName>
    <definedName name="solver_rhs5" localSheetId="1" hidden="1">1</definedName>
    <definedName name="solver_rhs5" localSheetId="2" hidden="1">1</definedName>
    <definedName name="solver_rlx" localSheetId="3" hidden="1">2</definedName>
    <definedName name="solver_rlx" localSheetId="1" hidden="1">2</definedName>
    <definedName name="solver_rlx" localSheetId="2" hidden="1">2</definedName>
    <definedName name="solver_rsd" localSheetId="3" hidden="1">0</definedName>
    <definedName name="solver_rsd" localSheetId="1" hidden="1">0</definedName>
    <definedName name="solver_rsd" localSheetId="2" hidden="1">0</definedName>
    <definedName name="solver_scl" localSheetId="3" hidden="1">1</definedName>
    <definedName name="solver_scl" localSheetId="1" hidden="1">1</definedName>
    <definedName name="solver_scl" localSheetId="2" hidden="1">1</definedName>
    <definedName name="solver_sho" localSheetId="3" hidden="1">2</definedName>
    <definedName name="solver_sho" localSheetId="1" hidden="1">2</definedName>
    <definedName name="solver_sho" localSheetId="2" hidden="1">2</definedName>
    <definedName name="solver_ssz" localSheetId="3" hidden="1">100</definedName>
    <definedName name="solver_ssz" localSheetId="1" hidden="1">100</definedName>
    <definedName name="solver_ssz" localSheetId="2" hidden="1">10</definedName>
    <definedName name="solver_tim" localSheetId="3" hidden="1">2147483647</definedName>
    <definedName name="solver_tim" localSheetId="1" hidden="1">2147483647</definedName>
    <definedName name="solver_tim" localSheetId="2" hidden="1">2147483647</definedName>
    <definedName name="solver_tol" localSheetId="3" hidden="1">0.01</definedName>
    <definedName name="solver_tol" localSheetId="1" hidden="1">0.01</definedName>
    <definedName name="solver_tol" localSheetId="2" hidden="1">0.01</definedName>
    <definedName name="solver_typ" localSheetId="3" hidden="1">3</definedName>
    <definedName name="solver_typ" localSheetId="1" hidden="1">3</definedName>
    <definedName name="solver_typ" localSheetId="2" hidden="1">3</definedName>
    <definedName name="solver_val" localSheetId="3" hidden="1">0</definedName>
    <definedName name="solver_val" localSheetId="1" hidden="1">0</definedName>
    <definedName name="solver_val" localSheetId="2" hidden="1">0</definedName>
    <definedName name="solver_ver" localSheetId="3" hidden="1">3</definedName>
    <definedName name="solver_ver" localSheetId="1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D35" i="3" l="1"/>
  <c r="D36" i="3"/>
  <c r="D37" i="3"/>
  <c r="C35" i="3"/>
  <c r="C36" i="3"/>
  <c r="C37" i="3"/>
  <c r="D38" i="7"/>
  <c r="D39" i="7"/>
  <c r="D40" i="7"/>
  <c r="C38" i="7"/>
  <c r="C39" i="7"/>
  <c r="C40" i="7"/>
  <c r="D38" i="5"/>
  <c r="D39" i="5"/>
  <c r="D40" i="5"/>
  <c r="C38" i="5"/>
  <c r="C39" i="5"/>
  <c r="C40" i="5"/>
  <c r="B8" i="5"/>
  <c r="B7" i="7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B42" i="7" l="1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B17" i="7"/>
  <c r="B15" i="7"/>
  <c r="B13" i="7"/>
  <c r="B16" i="5"/>
  <c r="D28" i="5"/>
  <c r="D29" i="5"/>
  <c r="D30" i="5"/>
  <c r="D31" i="5"/>
  <c r="D32" i="5"/>
  <c r="D33" i="5"/>
  <c r="D34" i="5"/>
  <c r="D35" i="5"/>
  <c r="D36" i="5"/>
  <c r="D27" i="5"/>
  <c r="B18" i="5"/>
  <c r="B14" i="5"/>
  <c r="E40" i="7" l="1"/>
  <c r="G40" i="7" s="1"/>
  <c r="E38" i="7"/>
  <c r="E39" i="7"/>
  <c r="E38" i="5"/>
  <c r="G38" i="5" s="1"/>
  <c r="E27" i="5"/>
  <c r="E37" i="5"/>
  <c r="E28" i="5"/>
  <c r="E40" i="5"/>
  <c r="E39" i="5"/>
  <c r="D36" i="7"/>
  <c r="E35" i="7"/>
  <c r="G35" i="7" s="1"/>
  <c r="E28" i="7"/>
  <c r="E32" i="7"/>
  <c r="E36" i="7"/>
  <c r="E29" i="7"/>
  <c r="E33" i="7"/>
  <c r="E30" i="7"/>
  <c r="E34" i="7"/>
  <c r="E27" i="7"/>
  <c r="E31" i="7"/>
  <c r="F40" i="7" l="1"/>
  <c r="F38" i="5"/>
  <c r="F38" i="7"/>
  <c r="G38" i="7"/>
  <c r="F35" i="7"/>
  <c r="G33" i="7"/>
  <c r="F33" i="7"/>
  <c r="G28" i="7"/>
  <c r="F28" i="7"/>
  <c r="G32" i="7"/>
  <c r="F32" i="7"/>
  <c r="F34" i="7"/>
  <c r="G34" i="7"/>
  <c r="G29" i="7"/>
  <c r="F29" i="7"/>
  <c r="G27" i="7"/>
  <c r="F27" i="7"/>
  <c r="G31" i="7"/>
  <c r="F31" i="7"/>
  <c r="F30" i="7"/>
  <c r="G30" i="7"/>
  <c r="G36" i="7"/>
  <c r="F36" i="7"/>
  <c r="B42" i="5"/>
  <c r="C36" i="5"/>
  <c r="C35" i="5"/>
  <c r="C34" i="5"/>
  <c r="C33" i="5"/>
  <c r="C32" i="5"/>
  <c r="C31" i="5"/>
  <c r="C30" i="5"/>
  <c r="C29" i="5"/>
  <c r="C28" i="5"/>
  <c r="C27" i="5"/>
  <c r="E35" i="5" l="1"/>
  <c r="G35" i="5" s="1"/>
  <c r="E32" i="5"/>
  <c r="E36" i="5"/>
  <c r="E30" i="5"/>
  <c r="E34" i="5"/>
  <c r="E29" i="5"/>
  <c r="E33" i="5"/>
  <c r="E31" i="5"/>
  <c r="B39" i="3"/>
  <c r="D25" i="3"/>
  <c r="D26" i="3"/>
  <c r="D27" i="3"/>
  <c r="D28" i="3"/>
  <c r="D29" i="3"/>
  <c r="D30" i="3"/>
  <c r="D31" i="3"/>
  <c r="D32" i="3"/>
  <c r="D33" i="3"/>
  <c r="D24" i="3"/>
  <c r="C25" i="3"/>
  <c r="C26" i="3"/>
  <c r="C27" i="3"/>
  <c r="C28" i="3"/>
  <c r="C29" i="3"/>
  <c r="C30" i="3"/>
  <c r="C31" i="3"/>
  <c r="C32" i="3"/>
  <c r="C33" i="3"/>
  <c r="C24" i="3"/>
  <c r="B13" i="3"/>
  <c r="B11" i="3"/>
  <c r="B9" i="3"/>
  <c r="K19" i="1"/>
  <c r="K20" i="1"/>
  <c r="K21" i="1"/>
  <c r="K22" i="1"/>
  <c r="K23" i="1"/>
  <c r="K24" i="1"/>
  <c r="K25" i="1"/>
  <c r="K26" i="1"/>
  <c r="K27" i="1"/>
  <c r="K18" i="1"/>
  <c r="J19" i="1"/>
  <c r="J20" i="1"/>
  <c r="J21" i="1"/>
  <c r="J22" i="1"/>
  <c r="J23" i="1"/>
  <c r="J24" i="1"/>
  <c r="J25" i="1"/>
  <c r="J26" i="1"/>
  <c r="J27" i="1"/>
  <c r="J18" i="1"/>
  <c r="I19" i="1"/>
  <c r="I20" i="1"/>
  <c r="I21" i="1"/>
  <c r="I22" i="1"/>
  <c r="I23" i="1"/>
  <c r="I24" i="1"/>
  <c r="I25" i="1"/>
  <c r="I26" i="1"/>
  <c r="I27" i="1"/>
  <c r="I18" i="1"/>
  <c r="H19" i="1"/>
  <c r="H20" i="1"/>
  <c r="H21" i="1"/>
  <c r="H22" i="1"/>
  <c r="H23" i="1"/>
  <c r="H24" i="1"/>
  <c r="H25" i="1"/>
  <c r="H26" i="1"/>
  <c r="H27" i="1"/>
  <c r="H18" i="1"/>
  <c r="G19" i="1"/>
  <c r="G20" i="1"/>
  <c r="G21" i="1"/>
  <c r="G22" i="1"/>
  <c r="G23" i="1"/>
  <c r="G24" i="1"/>
  <c r="G25" i="1"/>
  <c r="G26" i="1"/>
  <c r="G27" i="1"/>
  <c r="G18" i="1"/>
  <c r="E27" i="3" l="1"/>
  <c r="E35" i="3"/>
  <c r="E37" i="3"/>
  <c r="E36" i="3"/>
  <c r="G40" i="5"/>
  <c r="F35" i="5"/>
  <c r="G27" i="5"/>
  <c r="F27" i="5"/>
  <c r="G32" i="5"/>
  <c r="F32" i="5"/>
  <c r="G34" i="5"/>
  <c r="F34" i="5"/>
  <c r="G28" i="5"/>
  <c r="F28" i="5"/>
  <c r="G33" i="5"/>
  <c r="F33" i="5"/>
  <c r="G30" i="5"/>
  <c r="F30" i="5"/>
  <c r="G31" i="5"/>
  <c r="F31" i="5"/>
  <c r="G29" i="5"/>
  <c r="F29" i="5"/>
  <c r="G36" i="5"/>
  <c r="F36" i="5"/>
  <c r="F27" i="3"/>
  <c r="G27" i="3" s="1"/>
  <c r="I27" i="3"/>
  <c r="H27" i="3" s="1"/>
  <c r="E28" i="3"/>
  <c r="E30" i="3"/>
  <c r="E26" i="3"/>
  <c r="E31" i="3"/>
  <c r="E32" i="3"/>
  <c r="E33" i="3"/>
  <c r="E29" i="3"/>
  <c r="E25" i="3"/>
  <c r="E24" i="3"/>
  <c r="I35" i="3" l="1"/>
  <c r="H35" i="3" s="1"/>
  <c r="F35" i="3"/>
  <c r="G35" i="3" s="1"/>
  <c r="F40" i="5"/>
  <c r="F37" i="3"/>
  <c r="G37" i="3" s="1"/>
  <c r="I37" i="3"/>
  <c r="H37" i="3" s="1"/>
  <c r="F28" i="3"/>
  <c r="G28" i="3" s="1"/>
  <c r="I28" i="3"/>
  <c r="H28" i="3" s="1"/>
  <c r="F31" i="3"/>
  <c r="G31" i="3" s="1"/>
  <c r="I31" i="3"/>
  <c r="H31" i="3" s="1"/>
  <c r="F29" i="3"/>
  <c r="G29" i="3" s="1"/>
  <c r="I29" i="3"/>
  <c r="H29" i="3" s="1"/>
  <c r="F26" i="3"/>
  <c r="G26" i="3" s="1"/>
  <c r="I26" i="3"/>
  <c r="H26" i="3" s="1"/>
  <c r="F33" i="3"/>
  <c r="G33" i="3" s="1"/>
  <c r="I33" i="3"/>
  <c r="H33" i="3" s="1"/>
  <c r="F30" i="3"/>
  <c r="G30" i="3" s="1"/>
  <c r="I30" i="3"/>
  <c r="H30" i="3" s="1"/>
  <c r="F25" i="3"/>
  <c r="G25" i="3" s="1"/>
  <c r="I25" i="3"/>
  <c r="H25" i="3" s="1"/>
  <c r="F24" i="3"/>
  <c r="G24" i="3" s="1"/>
  <c r="I24" i="3"/>
  <c r="F32" i="3"/>
  <c r="G32" i="3" s="1"/>
  <c r="I32" i="3"/>
  <c r="H32" i="3" s="1"/>
  <c r="H24" i="3" l="1"/>
  <c r="F28" i="1"/>
  <c r="E28" i="1"/>
  <c r="C28" i="1"/>
  <c r="B28" i="1"/>
  <c r="D28" i="1"/>
  <c r="C37" i="5" l="1"/>
  <c r="D34" i="3"/>
  <c r="C34" i="3"/>
  <c r="E34" i="3" s="1"/>
  <c r="D37" i="7"/>
  <c r="C37" i="7"/>
  <c r="D37" i="5"/>
  <c r="E37" i="7" l="1"/>
  <c r="G37" i="7" s="1"/>
  <c r="I36" i="3"/>
  <c r="H36" i="3" s="1"/>
  <c r="F36" i="3"/>
  <c r="G36" i="3" s="1"/>
  <c r="G39" i="7"/>
  <c r="F39" i="7"/>
  <c r="G39" i="5"/>
  <c r="F39" i="5"/>
  <c r="F34" i="3"/>
  <c r="G34" i="3" s="1"/>
  <c r="I34" i="3"/>
  <c r="B15" i="3"/>
  <c r="B14" i="3"/>
  <c r="G37" i="5"/>
  <c r="G42" i="5" s="1"/>
  <c r="G22" i="5" s="1"/>
  <c r="F37" i="5"/>
  <c r="G42" i="7" l="1"/>
  <c r="G22" i="7" s="1"/>
  <c r="F37" i="7"/>
  <c r="F42" i="7" s="1"/>
  <c r="F22" i="7" s="1"/>
  <c r="F42" i="5"/>
  <c r="F22" i="5" s="1"/>
  <c r="B11" i="5" s="1"/>
  <c r="B12" i="5" s="1"/>
  <c r="G20" i="3"/>
  <c r="I39" i="3"/>
  <c r="H34" i="3"/>
  <c r="H39" i="3" s="1"/>
  <c r="E22" i="7" l="1"/>
  <c r="B10" i="7"/>
  <c r="E22" i="5"/>
</calcChain>
</file>

<file path=xl/sharedStrings.xml><?xml version="1.0" encoding="utf-8"?>
<sst xmlns="http://schemas.openxmlformats.org/spreadsheetml/2006/main" count="208" uniqueCount="98">
  <si>
    <t>p</t>
  </si>
  <si>
    <t>bara</t>
  </si>
  <si>
    <t>T</t>
  </si>
  <si>
    <t>C</t>
  </si>
  <si>
    <t>Curtis</t>
  </si>
  <si>
    <t>pK</t>
  </si>
  <si>
    <t>psia</t>
  </si>
  <si>
    <t>Main Input</t>
  </si>
  <si>
    <t>Comp. Name</t>
  </si>
  <si>
    <t>MW</t>
  </si>
  <si>
    <t>Tc</t>
  </si>
  <si>
    <t>K</t>
  </si>
  <si>
    <t>Acentric</t>
  </si>
  <si>
    <t>Factor</t>
  </si>
  <si>
    <t>--</t>
  </si>
  <si>
    <t>N2</t>
  </si>
  <si>
    <t>CO2</t>
  </si>
  <si>
    <t>C1</t>
  </si>
  <si>
    <t>C2</t>
  </si>
  <si>
    <t>C3</t>
  </si>
  <si>
    <t>i-C4</t>
  </si>
  <si>
    <t>n-C4</t>
  </si>
  <si>
    <t>i-C5</t>
  </si>
  <si>
    <t>n-C5</t>
  </si>
  <si>
    <t>C6s</t>
  </si>
  <si>
    <t>C7+</t>
  </si>
  <si>
    <t>Gravity</t>
  </si>
  <si>
    <t>water=1</t>
  </si>
  <si>
    <t>H2S</t>
  </si>
  <si>
    <t>Liquid</t>
  </si>
  <si>
    <t>Density</t>
  </si>
  <si>
    <t>kg/m3</t>
  </si>
  <si>
    <t>STC</t>
  </si>
  <si>
    <t>typically 250-1000 bara</t>
  </si>
  <si>
    <t>must be &lt;= pK</t>
  </si>
  <si>
    <t>pc</t>
  </si>
  <si>
    <t>kg/kg-mole</t>
  </si>
  <si>
    <t>lb/lb-mole</t>
  </si>
  <si>
    <t>oR</t>
  </si>
  <si>
    <t>Flash Calculations at (p,T)</t>
  </si>
  <si>
    <t>zi</t>
  </si>
  <si>
    <t>Ki</t>
  </si>
  <si>
    <t>Feed Source</t>
  </si>
  <si>
    <t>Table 2.1 Gas Condensate</t>
  </si>
  <si>
    <t>A2</t>
  </si>
  <si>
    <t>A1</t>
  </si>
  <si>
    <t>Tri</t>
  </si>
  <si>
    <t>Pri</t>
  </si>
  <si>
    <t>ci</t>
  </si>
  <si>
    <t>Term i</t>
  </si>
  <si>
    <t>fv</t>
  </si>
  <si>
    <t>fvmin</t>
  </si>
  <si>
    <t>fvmax</t>
  </si>
  <si>
    <t>Sum</t>
  </si>
  <si>
    <t>Target=0</t>
  </si>
  <si>
    <t>Variable</t>
  </si>
  <si>
    <t>yi</t>
  </si>
  <si>
    <t>xi</t>
  </si>
  <si>
    <t>Sat. Type</t>
  </si>
  <si>
    <t>fvsat</t>
  </si>
  <si>
    <t>BP</t>
  </si>
  <si>
    <t>yi=ziKi</t>
  </si>
  <si>
    <t>DP</t>
  </si>
  <si>
    <t>xi=zi/Ki</t>
  </si>
  <si>
    <t>hBP</t>
  </si>
  <si>
    <t>hDP</t>
  </si>
  <si>
    <t>H=hBP * hDP</t>
  </si>
  <si>
    <t>Sat. Type (lab)</t>
  </si>
  <si>
    <t>psat, calc</t>
  </si>
  <si>
    <t>psat, lab</t>
  </si>
  <si>
    <t>(a) Find lower constraint on pk,min</t>
  </si>
  <si>
    <t>psat,max</t>
  </si>
  <si>
    <t>pk,min</t>
  </si>
  <si>
    <t>TPG4145 Find Convergence Pressure to Match Saturation Pressure at T</t>
  </si>
  <si>
    <t>- Move solved pk to pk,min (B13-&gt;B17)</t>
  </si>
  <si>
    <t xml:space="preserve">- Objective: minimize H (E22) </t>
  </si>
  <si>
    <t xml:space="preserve">- Objective: H=0 (E22) </t>
  </si>
  <si>
    <t>- Constraint: pk &gt;= psat, lab (B13&gt;=B8)</t>
  </si>
  <si>
    <t>- Constraint: pk &gt;= pk,min (B13&gt;=B17)</t>
  </si>
  <si>
    <t>TPG4145 Find Saturation Pressure at T Given Convergence Pressure</t>
  </si>
  <si>
    <t>Determine saturation pressure given convergence pressure</t>
  </si>
  <si>
    <t>(a) Find upper constraint psat,max</t>
  </si>
  <si>
    <t>(b). Find convergence pressure to match measured saturation pressure</t>
  </si>
  <si>
    <t>Determine convergence pressure to match lab saturation pressure</t>
  </si>
  <si>
    <t>(b). Find saturation pressure</t>
  </si>
  <si>
    <t>- Move solved psat,calc to psat,max (B8-&gt;B16)</t>
  </si>
  <si>
    <t>- Constraint: psat,calc&lt;= psat,max (B8&lt;=B16)</t>
  </si>
  <si>
    <t>- Variable: psat,calc (B8) | Set initially to 0.5*psat,max</t>
  </si>
  <si>
    <t>- Variable: pK (B13) | Set initially to psat,lab</t>
  </si>
  <si>
    <t>- Variable: pK (B13) | Set initially to pk,min</t>
  </si>
  <si>
    <t>F1</t>
  </si>
  <si>
    <t>F2</t>
  </si>
  <si>
    <t>F3</t>
  </si>
  <si>
    <r>
      <t>Component Properties Tables</t>
    </r>
    <r>
      <rPr>
        <sz val="11"/>
        <color theme="1"/>
        <rFont val="Calibri"/>
        <family val="2"/>
        <scheme val="minor"/>
      </rPr>
      <t xml:space="preserve"> (App. A and Table 5.2 and Problem 17 Appendix B)</t>
    </r>
  </si>
  <si>
    <t>- Constraints: psat,calc&lt;=pk (B8&lt;=B12) | psat,calc&gt;=1 bar (B8&gt;=1)</t>
  </si>
  <si>
    <t>- Variable: psat,calc (B8) | initial value = 2 bar (B8=2)</t>
  </si>
  <si>
    <t>TPG4145 Flash Example in Class - Problem 17 in App. B Monograph</t>
  </si>
  <si>
    <t>TPG4145 Flash Example in Class - Problem 17 in Monograph App.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</si>
</sst>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72" formatCode="0.0E+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3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6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166" fontId="1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165" fontId="1" fillId="0" borderId="0" xfId="0" applyNumberFormat="1" applyFont="1" applyBorder="1"/>
    <xf numFmtId="0" fontId="4" fillId="0" borderId="0" xfId="0" applyFont="1" applyBorder="1"/>
    <xf numFmtId="165" fontId="3" fillId="0" borderId="0" xfId="0" applyNumberFormat="1" applyFont="1"/>
    <xf numFmtId="2" fontId="3" fillId="0" borderId="0" xfId="0" applyNumberFormat="1" applyFont="1" applyBorder="1"/>
    <xf numFmtId="11" fontId="3" fillId="0" borderId="0" xfId="0" applyNumberFormat="1" applyFont="1" applyBorder="1"/>
    <xf numFmtId="0" fontId="3" fillId="0" borderId="0" xfId="0" applyFont="1" applyBorder="1"/>
    <xf numFmtId="166" fontId="3" fillId="0" borderId="0" xfId="0" applyNumberFormat="1" applyFont="1" applyBorder="1"/>
    <xf numFmtId="0" fontId="5" fillId="0" borderId="0" xfId="0" applyFont="1" applyBorder="1"/>
    <xf numFmtId="165" fontId="3" fillId="0" borderId="0" xfId="0" applyNumberFormat="1" applyFont="1" applyBorder="1"/>
    <xf numFmtId="0" fontId="6" fillId="0" borderId="0" xfId="0" applyFont="1"/>
    <xf numFmtId="166" fontId="6" fillId="0" borderId="0" xfId="0" applyNumberFormat="1" applyFont="1"/>
    <xf numFmtId="0" fontId="0" fillId="0" borderId="0" xfId="0" applyAlignment="1">
      <alignment horizontal="right"/>
    </xf>
    <xf numFmtId="1" fontId="6" fillId="0" borderId="0" xfId="0" applyNumberFormat="1" applyFont="1"/>
    <xf numFmtId="11" fontId="0" fillId="0" borderId="0" xfId="0" applyNumberFormat="1"/>
    <xf numFmtId="1" fontId="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/>
    <xf numFmtId="11" fontId="6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0" fillId="0" borderId="0" xfId="0" quotePrefix="1"/>
    <xf numFmtId="164" fontId="7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164" fontId="1" fillId="0" borderId="0" xfId="0" applyNumberFormat="1" applyFont="1"/>
    <xf numFmtId="17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442018</xdr:colOff>
      <xdr:row>4</xdr:row>
      <xdr:rowOff>60943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90018" cy="79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158261</xdr:colOff>
      <xdr:row>3</xdr:row>
      <xdr:rowOff>155900</xdr:rowOff>
    </xdr:from>
    <xdr:to>
      <xdr:col>8</xdr:col>
      <xdr:colOff>146538</xdr:colOff>
      <xdr:row>7</xdr:row>
      <xdr:rowOff>123381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1" y="704540"/>
          <a:ext cx="4865077" cy="69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38100</xdr:rowOff>
    </xdr:from>
    <xdr:to>
      <xdr:col>7</xdr:col>
      <xdr:colOff>584319</xdr:colOff>
      <xdr:row>12</xdr:row>
      <xdr:rowOff>123800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4851519" cy="6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30480</xdr:rowOff>
    </xdr:from>
    <xdr:to>
      <xdr:col>8</xdr:col>
      <xdr:colOff>567523</xdr:colOff>
      <xdr:row>20</xdr:row>
      <xdr:rowOff>15212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"/>
          <a:ext cx="5444323" cy="1264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</xdr:colOff>
      <xdr:row>0</xdr:row>
      <xdr:rowOff>144780</xdr:rowOff>
    </xdr:from>
    <xdr:to>
      <xdr:col>18</xdr:col>
      <xdr:colOff>541020</xdr:colOff>
      <xdr:row>9</xdr:row>
      <xdr:rowOff>144780</xdr:rowOff>
    </xdr:to>
    <xdr:pic>
      <xdr:nvPicPr>
        <xdr:cNvPr id="6" name="Picture 5" descr="C:\Users\Curtis Hays Whitson\AppData\Local\Microsoft\Windows\INetCache\IE\UYL2IBFZ\JS06NO9D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144780"/>
          <a:ext cx="600456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60960</xdr:colOff>
      <xdr:row>10</xdr:row>
      <xdr:rowOff>91440</xdr:rowOff>
    </xdr:from>
    <xdr:to>
      <xdr:col>18</xdr:col>
      <xdr:colOff>480060</xdr:colOff>
      <xdr:row>16</xdr:row>
      <xdr:rowOff>144780</xdr:rowOff>
    </xdr:to>
    <xdr:pic>
      <xdr:nvPicPr>
        <xdr:cNvPr id="7" name="Picture 6" descr="C:\Users\Curtis Hays Whitson\AppData\Local\Microsoft\Windows\INetCache\IE\GBARPKCB\9WU5XIEK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920240"/>
          <a:ext cx="590550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ColWidth="12.77734375" defaultRowHeight="14.4" x14ac:dyDescent="0.3"/>
  <sheetData>
    <row r="1" spans="1:11" x14ac:dyDescent="0.3">
      <c r="A1" s="4" t="s">
        <v>97</v>
      </c>
    </row>
    <row r="2" spans="1:11" x14ac:dyDescent="0.3">
      <c r="A2" t="s">
        <v>4</v>
      </c>
    </row>
    <row r="3" spans="1:11" x14ac:dyDescent="0.3">
      <c r="A3">
        <v>20180213</v>
      </c>
    </row>
    <row r="6" spans="1:11" x14ac:dyDescent="0.3">
      <c r="A6" s="4"/>
    </row>
    <row r="7" spans="1:11" x14ac:dyDescent="0.3">
      <c r="B7" s="1"/>
    </row>
    <row r="8" spans="1:11" x14ac:dyDescent="0.3">
      <c r="B8" s="1"/>
    </row>
    <row r="9" spans="1:11" x14ac:dyDescent="0.3">
      <c r="B9" s="3"/>
    </row>
    <row r="10" spans="1:11" x14ac:dyDescent="0.3">
      <c r="B10" s="1"/>
    </row>
    <row r="11" spans="1:11" x14ac:dyDescent="0.3">
      <c r="B11" s="3"/>
    </row>
    <row r="13" spans="1:11" x14ac:dyDescent="0.3">
      <c r="A13" s="4" t="s">
        <v>93</v>
      </c>
    </row>
    <row r="14" spans="1:11" x14ac:dyDescent="0.3">
      <c r="A14" s="4"/>
      <c r="B14" s="13"/>
      <c r="C14" s="13"/>
      <c r="D14" s="13"/>
      <c r="E14" s="13"/>
      <c r="F14" s="8" t="s">
        <v>32</v>
      </c>
      <c r="G14" s="13"/>
      <c r="H14" s="13"/>
      <c r="I14" s="13"/>
      <c r="J14" s="13"/>
      <c r="K14" s="8" t="s">
        <v>32</v>
      </c>
    </row>
    <row r="15" spans="1:11" s="5" customFormat="1" x14ac:dyDescent="0.3">
      <c r="B15" s="8"/>
      <c r="C15" s="8"/>
      <c r="D15" s="8"/>
      <c r="E15" s="8" t="s">
        <v>12</v>
      </c>
      <c r="F15" s="8" t="s">
        <v>29</v>
      </c>
      <c r="G15" s="8"/>
      <c r="H15" s="8"/>
      <c r="I15" s="8"/>
      <c r="J15" s="8" t="s">
        <v>12</v>
      </c>
      <c r="K15" s="8" t="s">
        <v>29</v>
      </c>
    </row>
    <row r="16" spans="1:11" s="5" customFormat="1" x14ac:dyDescent="0.3">
      <c r="A16" s="5" t="s">
        <v>8</v>
      </c>
      <c r="B16" s="8" t="s">
        <v>9</v>
      </c>
      <c r="C16" s="8" t="s">
        <v>10</v>
      </c>
      <c r="D16" s="8" t="s">
        <v>35</v>
      </c>
      <c r="E16" s="8" t="s">
        <v>13</v>
      </c>
      <c r="F16" s="8" t="s">
        <v>30</v>
      </c>
      <c r="G16" s="8" t="s">
        <v>9</v>
      </c>
      <c r="H16" s="8" t="s">
        <v>10</v>
      </c>
      <c r="I16" s="8" t="s">
        <v>35</v>
      </c>
      <c r="J16" s="8" t="s">
        <v>13</v>
      </c>
      <c r="K16" s="8" t="s">
        <v>26</v>
      </c>
    </row>
    <row r="17" spans="1:11" s="5" customFormat="1" x14ac:dyDescent="0.3">
      <c r="B17" s="8" t="s">
        <v>36</v>
      </c>
      <c r="C17" s="8" t="s">
        <v>11</v>
      </c>
      <c r="D17" s="8" t="s">
        <v>1</v>
      </c>
      <c r="E17" s="9" t="s">
        <v>14</v>
      </c>
      <c r="F17" s="8" t="s">
        <v>31</v>
      </c>
      <c r="G17" s="8" t="s">
        <v>37</v>
      </c>
      <c r="H17" s="8" t="s">
        <v>38</v>
      </c>
      <c r="I17" s="8" t="s">
        <v>6</v>
      </c>
      <c r="J17" s="9" t="s">
        <v>14</v>
      </c>
      <c r="K17" s="8" t="s">
        <v>27</v>
      </c>
    </row>
    <row r="18" spans="1:11" x14ac:dyDescent="0.3">
      <c r="A18" t="s">
        <v>15</v>
      </c>
      <c r="B18" s="10">
        <v>28.02</v>
      </c>
      <c r="C18" s="10">
        <v>126.3</v>
      </c>
      <c r="D18" s="11">
        <v>33.99</v>
      </c>
      <c r="E18" s="12">
        <v>4.4999999999999998E-2</v>
      </c>
      <c r="F18" s="10">
        <v>469.5</v>
      </c>
      <c r="G18" s="13">
        <f>B18</f>
        <v>28.02</v>
      </c>
      <c r="H18" s="13">
        <f>C18*1.8</f>
        <v>227.34</v>
      </c>
      <c r="I18" s="18">
        <f>D18*14.50377</f>
        <v>492.9831423</v>
      </c>
      <c r="J18" s="15">
        <f>E18</f>
        <v>4.4999999999999998E-2</v>
      </c>
      <c r="K18" s="16">
        <f>F18/999</f>
        <v>0.46996996996996998</v>
      </c>
    </row>
    <row r="19" spans="1:11" x14ac:dyDescent="0.3">
      <c r="A19" t="s">
        <v>16</v>
      </c>
      <c r="B19" s="10">
        <v>44.01</v>
      </c>
      <c r="C19" s="10">
        <v>304.2</v>
      </c>
      <c r="D19" s="11">
        <v>73.819999999999993</v>
      </c>
      <c r="E19" s="12">
        <v>0.23100000000000001</v>
      </c>
      <c r="F19" s="10">
        <v>499.5</v>
      </c>
      <c r="G19" s="13">
        <f t="shared" ref="G19:G27" si="0">B19</f>
        <v>44.01</v>
      </c>
      <c r="H19" s="13">
        <f t="shared" ref="H19:H27" si="1">C19*1.8</f>
        <v>547.55999999999995</v>
      </c>
      <c r="I19" s="18">
        <f t="shared" ref="I19:I27" si="2">D19*14.50377</f>
        <v>1070.6683013999998</v>
      </c>
      <c r="J19" s="15">
        <f t="shared" ref="J19:J27" si="3">E19</f>
        <v>0.23100000000000001</v>
      </c>
      <c r="K19" s="16">
        <f t="shared" ref="K19:K27" si="4">F19/999</f>
        <v>0.5</v>
      </c>
    </row>
    <row r="20" spans="1:11" x14ac:dyDescent="0.3">
      <c r="A20" t="s">
        <v>28</v>
      </c>
      <c r="B20" s="10">
        <v>34.08</v>
      </c>
      <c r="C20" s="10">
        <v>373.6</v>
      </c>
      <c r="D20" s="11">
        <v>90.05</v>
      </c>
      <c r="E20" s="12">
        <v>0.1</v>
      </c>
      <c r="F20" s="10">
        <v>499.5</v>
      </c>
      <c r="G20" s="13">
        <f t="shared" si="0"/>
        <v>34.08</v>
      </c>
      <c r="H20" s="13">
        <f t="shared" si="1"/>
        <v>672.48</v>
      </c>
      <c r="I20" s="18">
        <f t="shared" si="2"/>
        <v>1306.0644884999999</v>
      </c>
      <c r="J20" s="15">
        <f t="shared" si="3"/>
        <v>0.1</v>
      </c>
      <c r="K20" s="16">
        <f t="shared" si="4"/>
        <v>0.5</v>
      </c>
    </row>
    <row r="21" spans="1:11" x14ac:dyDescent="0.3">
      <c r="A21" t="s">
        <v>17</v>
      </c>
      <c r="B21" s="10">
        <v>16.04</v>
      </c>
      <c r="C21" s="10">
        <v>190.6</v>
      </c>
      <c r="D21" s="11">
        <v>46.04</v>
      </c>
      <c r="E21" s="12">
        <v>1.15E-2</v>
      </c>
      <c r="F21" s="10">
        <v>329.7</v>
      </c>
      <c r="G21" s="13">
        <f t="shared" si="0"/>
        <v>16.04</v>
      </c>
      <c r="H21" s="13">
        <f t="shared" si="1"/>
        <v>343.08</v>
      </c>
      <c r="I21" s="18">
        <f t="shared" si="2"/>
        <v>667.75357079999992</v>
      </c>
      <c r="J21" s="15">
        <f t="shared" si="3"/>
        <v>1.15E-2</v>
      </c>
      <c r="K21" s="16">
        <f t="shared" si="4"/>
        <v>0.33003003003003001</v>
      </c>
    </row>
    <row r="22" spans="1:11" x14ac:dyDescent="0.3">
      <c r="A22" t="s">
        <v>18</v>
      </c>
      <c r="B22" s="10">
        <v>30.07</v>
      </c>
      <c r="C22" s="10">
        <v>305.39999999999998</v>
      </c>
      <c r="D22" s="11">
        <v>48.8</v>
      </c>
      <c r="E22" s="12">
        <v>9.0800000000000006E-2</v>
      </c>
      <c r="F22" s="10">
        <v>449.6</v>
      </c>
      <c r="G22" s="13">
        <f t="shared" si="0"/>
        <v>30.07</v>
      </c>
      <c r="H22" s="13">
        <f t="shared" si="1"/>
        <v>549.72</v>
      </c>
      <c r="I22" s="18">
        <f t="shared" si="2"/>
        <v>707.78397599999994</v>
      </c>
      <c r="J22" s="15">
        <f t="shared" si="3"/>
        <v>9.0800000000000006E-2</v>
      </c>
      <c r="K22" s="16">
        <f t="shared" si="4"/>
        <v>0.45005005005005005</v>
      </c>
    </row>
    <row r="23" spans="1:11" x14ac:dyDescent="0.3">
      <c r="A23" t="s">
        <v>19</v>
      </c>
      <c r="B23" s="10">
        <v>44.09</v>
      </c>
      <c r="C23" s="10">
        <v>369.8</v>
      </c>
      <c r="D23" s="11">
        <v>42.49</v>
      </c>
      <c r="E23" s="12">
        <v>0.1454</v>
      </c>
      <c r="F23" s="10">
        <v>507.2</v>
      </c>
      <c r="G23" s="13">
        <f t="shared" si="0"/>
        <v>44.09</v>
      </c>
      <c r="H23" s="13">
        <f t="shared" si="1"/>
        <v>665.64</v>
      </c>
      <c r="I23" s="18">
        <f t="shared" si="2"/>
        <v>616.26518729999998</v>
      </c>
      <c r="J23" s="15">
        <f t="shared" si="3"/>
        <v>0.1454</v>
      </c>
      <c r="K23" s="16">
        <f t="shared" si="4"/>
        <v>0.50770770770770768</v>
      </c>
    </row>
    <row r="24" spans="1:11" x14ac:dyDescent="0.3">
      <c r="A24" t="s">
        <v>20</v>
      </c>
      <c r="B24" s="10">
        <v>58.12</v>
      </c>
      <c r="C24" s="10">
        <v>408.2</v>
      </c>
      <c r="D24" s="11">
        <v>36.479999999999997</v>
      </c>
      <c r="E24" s="12">
        <v>0.17560000000000001</v>
      </c>
      <c r="F24" s="10">
        <v>560.70000000000005</v>
      </c>
      <c r="G24" s="13">
        <f t="shared" si="0"/>
        <v>58.12</v>
      </c>
      <c r="H24" s="13">
        <f t="shared" si="1"/>
        <v>734.76</v>
      </c>
      <c r="I24" s="18">
        <f t="shared" si="2"/>
        <v>529.09752959999992</v>
      </c>
      <c r="J24" s="15">
        <f t="shared" si="3"/>
        <v>0.17560000000000001</v>
      </c>
      <c r="K24" s="16">
        <f t="shared" si="4"/>
        <v>0.5612612612612613</v>
      </c>
    </row>
    <row r="25" spans="1:11" x14ac:dyDescent="0.3">
      <c r="A25" t="s">
        <v>21</v>
      </c>
      <c r="B25" s="10">
        <v>58.12</v>
      </c>
      <c r="C25" s="10">
        <v>425.2</v>
      </c>
      <c r="D25" s="11">
        <v>37.97</v>
      </c>
      <c r="E25" s="12">
        <v>0.1928</v>
      </c>
      <c r="F25" s="10">
        <v>583.79999999999995</v>
      </c>
      <c r="G25" s="13">
        <f t="shared" si="0"/>
        <v>58.12</v>
      </c>
      <c r="H25" s="13">
        <f t="shared" si="1"/>
        <v>765.36</v>
      </c>
      <c r="I25" s="18">
        <f t="shared" si="2"/>
        <v>550.70814689999997</v>
      </c>
      <c r="J25" s="15">
        <f t="shared" si="3"/>
        <v>0.1928</v>
      </c>
      <c r="K25" s="16">
        <f t="shared" si="4"/>
        <v>0.58438438438438434</v>
      </c>
    </row>
    <row r="26" spans="1:11" x14ac:dyDescent="0.3">
      <c r="A26" t="s">
        <v>22</v>
      </c>
      <c r="B26" s="10">
        <v>72.150000000000006</v>
      </c>
      <c r="C26" s="10">
        <v>460.4</v>
      </c>
      <c r="D26" s="11">
        <v>33.81</v>
      </c>
      <c r="E26" s="12">
        <v>0.2273</v>
      </c>
      <c r="F26" s="10">
        <v>626.79999999999995</v>
      </c>
      <c r="G26" s="13">
        <f t="shared" si="0"/>
        <v>72.150000000000006</v>
      </c>
      <c r="H26" s="13">
        <f t="shared" si="1"/>
        <v>828.72</v>
      </c>
      <c r="I26" s="18">
        <f t="shared" si="2"/>
        <v>490.37246370000003</v>
      </c>
      <c r="J26" s="15">
        <f t="shared" si="3"/>
        <v>0.2273</v>
      </c>
      <c r="K26" s="16">
        <f t="shared" si="4"/>
        <v>0.62742742742742741</v>
      </c>
    </row>
    <row r="27" spans="1:11" x14ac:dyDescent="0.3">
      <c r="A27" t="s">
        <v>23</v>
      </c>
      <c r="B27" s="10">
        <v>72.150000000000006</v>
      </c>
      <c r="C27" s="10">
        <v>469.7</v>
      </c>
      <c r="D27" s="11">
        <v>33.69</v>
      </c>
      <c r="E27" s="12">
        <v>0.251</v>
      </c>
      <c r="F27" s="10">
        <v>629.5</v>
      </c>
      <c r="G27" s="13">
        <f t="shared" si="0"/>
        <v>72.150000000000006</v>
      </c>
      <c r="H27" s="13">
        <f t="shared" si="1"/>
        <v>845.46</v>
      </c>
      <c r="I27" s="18">
        <f t="shared" si="2"/>
        <v>488.63201129999993</v>
      </c>
      <c r="J27" s="15">
        <f t="shared" si="3"/>
        <v>0.251</v>
      </c>
      <c r="K27" s="16">
        <f t="shared" si="4"/>
        <v>0.63013013013013008</v>
      </c>
    </row>
    <row r="28" spans="1:11" x14ac:dyDescent="0.3">
      <c r="A28" t="s">
        <v>24</v>
      </c>
      <c r="B28" s="18">
        <f>G28</f>
        <v>86.17</v>
      </c>
      <c r="C28" s="18">
        <f>H28/1.8</f>
        <v>507.4444444444444</v>
      </c>
      <c r="D28" s="17">
        <f>I28/14.50377</f>
        <v>30.123202450121589</v>
      </c>
      <c r="E28" s="13">
        <f>J28</f>
        <v>0.29570000000000002</v>
      </c>
      <c r="F28" s="18">
        <f>K28*999</f>
        <v>659.7532467532468</v>
      </c>
      <c r="G28" s="14">
        <v>86.17</v>
      </c>
      <c r="H28" s="14">
        <v>913.4</v>
      </c>
      <c r="I28" s="14">
        <v>436.9</v>
      </c>
      <c r="J28" s="10">
        <v>0.29570000000000002</v>
      </c>
      <c r="K28" s="19">
        <v>0.66041366041366045</v>
      </c>
    </row>
    <row r="29" spans="1:11" x14ac:dyDescent="0.3">
      <c r="A29" t="s">
        <v>90</v>
      </c>
      <c r="B29" s="10">
        <v>114.1</v>
      </c>
      <c r="C29" s="14">
        <v>591.94444444444446</v>
      </c>
      <c r="D29" s="11">
        <v>28.240933219431916</v>
      </c>
      <c r="E29" s="10">
        <v>0.32550000000000001</v>
      </c>
      <c r="F29" s="14">
        <v>766.70934</v>
      </c>
      <c r="G29" s="13">
        <f t="shared" ref="G29:G31" si="5">B29</f>
        <v>114.1</v>
      </c>
      <c r="H29" s="13">
        <f t="shared" ref="H29:H31" si="6">C29*1.8</f>
        <v>1065.5</v>
      </c>
      <c r="I29" s="18">
        <f t="shared" ref="I29:I31" si="7">D29*14.50377</f>
        <v>409.6</v>
      </c>
      <c r="J29" s="15">
        <f t="shared" ref="J29:J31" si="8">E29</f>
        <v>0.32550000000000001</v>
      </c>
      <c r="K29" s="16">
        <f t="shared" ref="K29:K31" si="9">F29/999</f>
        <v>0.76747681681681679</v>
      </c>
    </row>
    <row r="30" spans="1:11" x14ac:dyDescent="0.3">
      <c r="A30" t="s">
        <v>91</v>
      </c>
      <c r="B30" s="10">
        <v>223.1</v>
      </c>
      <c r="C30" s="14">
        <v>753.33333333333337</v>
      </c>
      <c r="D30" s="11">
        <v>16.209578613008894</v>
      </c>
      <c r="E30" s="10">
        <v>0.65380000000000005</v>
      </c>
      <c r="F30" s="14">
        <v>839.5437300000001</v>
      </c>
      <c r="G30" s="13">
        <f t="shared" si="5"/>
        <v>223.1</v>
      </c>
      <c r="H30" s="13">
        <f t="shared" si="6"/>
        <v>1356</v>
      </c>
      <c r="I30" s="18">
        <f t="shared" si="7"/>
        <v>235.1</v>
      </c>
      <c r="J30" s="15">
        <f t="shared" si="8"/>
        <v>0.65380000000000005</v>
      </c>
      <c r="K30" s="16">
        <f t="shared" si="9"/>
        <v>0.84038411411411418</v>
      </c>
    </row>
    <row r="31" spans="1:11" x14ac:dyDescent="0.3">
      <c r="A31" t="s">
        <v>92</v>
      </c>
      <c r="B31" s="10">
        <v>455</v>
      </c>
      <c r="C31" s="14">
        <v>938.3888888888888</v>
      </c>
      <c r="D31" s="11">
        <v>9.2803457307996471</v>
      </c>
      <c r="E31" s="10">
        <v>1.1489</v>
      </c>
      <c r="F31" s="14">
        <v>924.56713999999999</v>
      </c>
      <c r="G31" s="13">
        <f t="shared" si="5"/>
        <v>455</v>
      </c>
      <c r="H31" s="13">
        <f t="shared" si="6"/>
        <v>1689.1</v>
      </c>
      <c r="I31" s="18">
        <f t="shared" si="7"/>
        <v>134.6</v>
      </c>
      <c r="J31" s="15">
        <f t="shared" si="8"/>
        <v>1.1489</v>
      </c>
      <c r="K31" s="16">
        <f t="shared" si="9"/>
        <v>0.92549263263263259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5" zoomScaleNormal="115" workbookViewId="0"/>
  </sheetViews>
  <sheetFormatPr defaultColWidth="12.77734375" defaultRowHeight="14.4" x14ac:dyDescent="0.3"/>
  <sheetData>
    <row r="1" spans="1:7" x14ac:dyDescent="0.3">
      <c r="A1" s="4" t="s">
        <v>73</v>
      </c>
    </row>
    <row r="2" spans="1:7" x14ac:dyDescent="0.3">
      <c r="A2" t="s">
        <v>4</v>
      </c>
      <c r="G2" s="4" t="s">
        <v>83</v>
      </c>
    </row>
    <row r="3" spans="1:7" x14ac:dyDescent="0.3">
      <c r="A3">
        <v>20180213</v>
      </c>
      <c r="G3" s="4" t="s">
        <v>70</v>
      </c>
    </row>
    <row r="4" spans="1:7" x14ac:dyDescent="0.3">
      <c r="G4" s="40" t="s">
        <v>75</v>
      </c>
    </row>
    <row r="5" spans="1:7" x14ac:dyDescent="0.3">
      <c r="G5" s="40" t="s">
        <v>88</v>
      </c>
    </row>
    <row r="6" spans="1:7" x14ac:dyDescent="0.3">
      <c r="A6" s="4" t="s">
        <v>7</v>
      </c>
      <c r="G6" s="40" t="s">
        <v>77</v>
      </c>
    </row>
    <row r="7" spans="1:7" x14ac:dyDescent="0.3">
      <c r="A7" t="s">
        <v>2</v>
      </c>
      <c r="B7" s="36">
        <v>113.33333333333333</v>
      </c>
      <c r="C7" t="s">
        <v>3</v>
      </c>
      <c r="G7" s="40" t="s">
        <v>74</v>
      </c>
    </row>
    <row r="8" spans="1:7" x14ac:dyDescent="0.3">
      <c r="A8" t="s">
        <v>69</v>
      </c>
      <c r="B8" s="35">
        <f>B9/14.50377</f>
        <v>213.73753169003646</v>
      </c>
      <c r="C8" t="s">
        <v>1</v>
      </c>
      <c r="G8" s="4" t="s">
        <v>82</v>
      </c>
    </row>
    <row r="9" spans="1:7" x14ac:dyDescent="0.3">
      <c r="B9" s="43">
        <v>3100</v>
      </c>
      <c r="C9" t="s">
        <v>6</v>
      </c>
      <c r="G9" s="40" t="s">
        <v>76</v>
      </c>
    </row>
    <row r="10" spans="1:7" x14ac:dyDescent="0.3">
      <c r="A10" t="s">
        <v>67</v>
      </c>
      <c r="B10" s="34" t="s">
        <v>60</v>
      </c>
      <c r="G10" s="40" t="s">
        <v>89</v>
      </c>
    </row>
    <row r="11" spans="1:7" x14ac:dyDescent="0.3">
      <c r="A11" t="s">
        <v>59</v>
      </c>
      <c r="B11" s="3">
        <f>IF(ABS(F22)&lt;ABS(G22),0,1)</f>
        <v>0</v>
      </c>
      <c r="G11" s="40" t="s">
        <v>78</v>
      </c>
    </row>
    <row r="12" spans="1:7" x14ac:dyDescent="0.3">
      <c r="A12" t="s">
        <v>58</v>
      </c>
      <c r="B12" s="33" t="str">
        <f>IF(B11=0,"BP","DP")</f>
        <v>BP</v>
      </c>
      <c r="G12" s="40"/>
    </row>
    <row r="13" spans="1:7" x14ac:dyDescent="0.3">
      <c r="A13" t="s">
        <v>5</v>
      </c>
      <c r="B13" s="41">
        <v>279.23274960628373</v>
      </c>
      <c r="C13" t="s">
        <v>1</v>
      </c>
      <c r="G13" s="40"/>
    </row>
    <row r="14" spans="1:7" x14ac:dyDescent="0.3">
      <c r="B14" s="3">
        <f>B13*14.50377</f>
        <v>4049.9275767571298</v>
      </c>
      <c r="C14" t="s">
        <v>6</v>
      </c>
      <c r="G14" s="40"/>
    </row>
    <row r="15" spans="1:7" x14ac:dyDescent="0.3">
      <c r="A15" t="s">
        <v>44</v>
      </c>
      <c r="B15" s="42">
        <v>0.7</v>
      </c>
      <c r="G15" s="4"/>
    </row>
    <row r="16" spans="1:7" x14ac:dyDescent="0.3">
      <c r="A16" t="s">
        <v>45</v>
      </c>
      <c r="B16" s="21">
        <f>1-(B8/B13)^B15</f>
        <v>0.1706456902711968</v>
      </c>
      <c r="G16" s="40"/>
    </row>
    <row r="17" spans="1:9" x14ac:dyDescent="0.3">
      <c r="A17" t="s">
        <v>72</v>
      </c>
      <c r="B17" s="41">
        <v>259.34772550660273</v>
      </c>
      <c r="C17" t="s">
        <v>1</v>
      </c>
      <c r="G17" s="40"/>
    </row>
    <row r="18" spans="1:9" x14ac:dyDescent="0.3">
      <c r="B18" s="3">
        <f>B17*14.50377</f>
        <v>3761.5197607708992</v>
      </c>
      <c r="C18" t="s">
        <v>6</v>
      </c>
      <c r="G18" s="40"/>
    </row>
    <row r="19" spans="1:9" x14ac:dyDescent="0.3">
      <c r="A19" s="39"/>
      <c r="B19" s="38"/>
    </row>
    <row r="21" spans="1:9" x14ac:dyDescent="0.3">
      <c r="E21" s="5" t="s">
        <v>66</v>
      </c>
      <c r="F21" s="5" t="s">
        <v>64</v>
      </c>
      <c r="G21" s="5" t="s">
        <v>65</v>
      </c>
    </row>
    <row r="22" spans="1:9" x14ac:dyDescent="0.3">
      <c r="A22" s="4" t="s">
        <v>39</v>
      </c>
      <c r="E22" s="37">
        <f>F22*G22</f>
        <v>-2.5982787430262257E-13</v>
      </c>
      <c r="F22" s="32">
        <f>1-F42</f>
        <v>2.4935609133081016E-13</v>
      </c>
      <c r="G22" s="32">
        <f>1-G42</f>
        <v>-1.0419952964289929</v>
      </c>
    </row>
    <row r="23" spans="1:9" x14ac:dyDescent="0.3">
      <c r="A23" s="4" t="s">
        <v>42</v>
      </c>
      <c r="B23" s="13" t="s">
        <v>43</v>
      </c>
      <c r="C23" s="13"/>
      <c r="D23" s="13"/>
      <c r="E23" s="13"/>
      <c r="F23" s="13"/>
      <c r="G23" s="13"/>
      <c r="H23" s="13"/>
      <c r="I23" s="8"/>
    </row>
    <row r="24" spans="1:9" s="5" customFormat="1" x14ac:dyDescent="0.3">
      <c r="B24" s="8"/>
      <c r="C24" s="8"/>
      <c r="D24" s="8"/>
      <c r="E24" s="8"/>
      <c r="F24" s="8" t="s">
        <v>60</v>
      </c>
      <c r="G24" s="8" t="s">
        <v>62</v>
      </c>
      <c r="H24" s="8"/>
      <c r="I24" s="8"/>
    </row>
    <row r="25" spans="1:9" s="5" customFormat="1" x14ac:dyDescent="0.3">
      <c r="A25" s="5" t="s">
        <v>8</v>
      </c>
      <c r="B25" s="8" t="s">
        <v>40</v>
      </c>
      <c r="C25" s="5" t="s">
        <v>46</v>
      </c>
      <c r="D25" s="8" t="s">
        <v>47</v>
      </c>
      <c r="E25" s="8" t="s">
        <v>41</v>
      </c>
      <c r="F25" s="8" t="s">
        <v>61</v>
      </c>
      <c r="G25" s="8" t="s">
        <v>63</v>
      </c>
      <c r="H25" s="8"/>
      <c r="I25" s="8"/>
    </row>
    <row r="26" spans="1:9" s="5" customFormat="1" x14ac:dyDescent="0.3">
      <c r="B26" s="8"/>
      <c r="C26" s="8"/>
      <c r="D26" s="8"/>
      <c r="E26" s="9"/>
      <c r="F26" s="8"/>
      <c r="G26" s="8"/>
      <c r="H26" s="9"/>
      <c r="I26" s="8"/>
    </row>
    <row r="27" spans="1:9" x14ac:dyDescent="0.3">
      <c r="A27" t="s">
        <v>15</v>
      </c>
      <c r="B27" s="11">
        <v>0</v>
      </c>
      <c r="C27" s="22">
        <f>($B$7+273.15)/'Comp-Props'!C18</f>
        <v>3.0600422275006594</v>
      </c>
      <c r="D27" s="22">
        <f>$B$8/'Comp-Props'!D18</f>
        <v>6.2882474754350239</v>
      </c>
      <c r="E27" s="23">
        <f>('Comp-Props'!D18/PK!$B$13)^(PK!$B$16-1)*EXP(5.37*PK!$B$16*(1+'Comp-Props'!E18)*(1-1/PK!C27))/PK!D27</f>
        <v>1.7377416283002112</v>
      </c>
      <c r="F27" s="23">
        <f>B27*E27/100</f>
        <v>0</v>
      </c>
      <c r="G27" s="23">
        <f>B27/E27/100</f>
        <v>0</v>
      </c>
      <c r="H27" s="25"/>
      <c r="I27" s="16"/>
    </row>
    <row r="28" spans="1:9" x14ac:dyDescent="0.3">
      <c r="A28" t="s">
        <v>16</v>
      </c>
      <c r="B28" s="11">
        <v>1.1100000000000001</v>
      </c>
      <c r="C28" s="22">
        <f>($B$7+273.15)/'Comp-Props'!C19</f>
        <v>1.2704909051062896</v>
      </c>
      <c r="D28" s="22">
        <f>$B$8/'Comp-Props'!D19</f>
        <v>2.8953878581690122</v>
      </c>
      <c r="E28" s="23">
        <f>('Comp-Props'!D19/PK!$B$13)^(PK!$B$16-1)*EXP(5.37*PK!$B$16*(1+'Comp-Props'!E19)*(1-1/PK!C28))/PK!D28</f>
        <v>1.3237010156088054</v>
      </c>
      <c r="F28" s="23">
        <f t="shared" ref="F28:F40" si="0">B28*E28/100</f>
        <v>1.4693081273257741E-2</v>
      </c>
      <c r="G28" s="23">
        <f t="shared" ref="G28:G40" si="1">B28/E28/100</f>
        <v>8.3855794239870822E-3</v>
      </c>
      <c r="H28" s="25"/>
      <c r="I28" s="16"/>
    </row>
    <row r="29" spans="1:9" x14ac:dyDescent="0.3">
      <c r="A29" t="s">
        <v>28</v>
      </c>
      <c r="B29" s="11">
        <v>0</v>
      </c>
      <c r="C29" s="22">
        <f>($B$7+273.15)/'Comp-Props'!C20</f>
        <v>1.0344842969307635</v>
      </c>
      <c r="D29" s="22">
        <f>$B$8/'Comp-Props'!D20</f>
        <v>2.3735428283180062</v>
      </c>
      <c r="E29" s="23">
        <f>('Comp-Props'!D20/PK!$B$13)^(PK!$B$16-1)*EXP(5.37*PK!$B$16*(1+'Comp-Props'!E20)*(1-1/PK!C29))/PK!D29</f>
        <v>1.113804972993282</v>
      </c>
      <c r="F29" s="23">
        <f t="shared" si="0"/>
        <v>0</v>
      </c>
      <c r="G29" s="23">
        <f t="shared" si="1"/>
        <v>0</v>
      </c>
      <c r="H29" s="25"/>
    </row>
    <row r="30" spans="1:9" x14ac:dyDescent="0.3">
      <c r="A30" t="s">
        <v>17</v>
      </c>
      <c r="B30" s="11">
        <v>39.5</v>
      </c>
      <c r="C30" s="22">
        <f>($B$7+273.15)/'Comp-Props'!C21</f>
        <v>2.0277194823364812</v>
      </c>
      <c r="D30" s="22">
        <f>$B$8/'Comp-Props'!D21</f>
        <v>4.6424311835368473</v>
      </c>
      <c r="E30" s="23">
        <f>('Comp-Props'!D21/PK!$B$13)^(PK!$B$16-1)*EXP(5.37*PK!$B$16*(1+'Comp-Props'!E21)*(1-1/PK!C30))/PK!D30</f>
        <v>1.5364742785634997</v>
      </c>
      <c r="F30" s="23">
        <f t="shared" si="0"/>
        <v>0.6069073400325824</v>
      </c>
      <c r="G30" s="23">
        <f t="shared" si="1"/>
        <v>0.25708207778739939</v>
      </c>
      <c r="H30" s="25"/>
      <c r="I30" s="16"/>
    </row>
    <row r="31" spans="1:9" x14ac:dyDescent="0.3">
      <c r="A31" t="s">
        <v>18</v>
      </c>
      <c r="B31" s="11">
        <v>9.69</v>
      </c>
      <c r="C31" s="22">
        <f>($B$7+273.15)/'Comp-Props'!C22</f>
        <v>1.2654987993887796</v>
      </c>
      <c r="D31" s="22">
        <f>$B$8/'Comp-Props'!D22</f>
        <v>4.3798674526646817</v>
      </c>
      <c r="E31" s="23">
        <f>('Comp-Props'!D22/PK!$B$13)^(PK!$B$16-1)*EXP(5.37*PK!$B$16*(1+'Comp-Props'!E22)*(1-1/PK!C31))/PK!D31</f>
        <v>1.1964337574645538</v>
      </c>
      <c r="F31" s="23">
        <f t="shared" si="0"/>
        <v>0.11593443109831526</v>
      </c>
      <c r="G31" s="23">
        <f t="shared" si="1"/>
        <v>8.0990693714082032E-2</v>
      </c>
      <c r="H31" s="25"/>
      <c r="I31" s="16"/>
    </row>
    <row r="32" spans="1:9" x14ac:dyDescent="0.3">
      <c r="A32" t="s">
        <v>19</v>
      </c>
      <c r="B32" s="11">
        <v>7.84</v>
      </c>
      <c r="C32" s="22">
        <f>($B$7+273.15)/'Comp-Props'!C23</f>
        <v>1.0451144762934919</v>
      </c>
      <c r="D32" s="22">
        <f>$B$8/'Comp-Props'!D23</f>
        <v>5.0303019931757227</v>
      </c>
      <c r="E32" s="23">
        <f>('Comp-Props'!D23/PK!$B$13)^(PK!$B$16-1)*EXP(5.37*PK!$B$16*(1+'Comp-Props'!E23)*(1-1/PK!C32))/PK!D32</f>
        <v>0.99135511836670775</v>
      </c>
      <c r="F32" s="23">
        <f t="shared" si="0"/>
        <v>7.772224127994988E-2</v>
      </c>
      <c r="G32" s="23">
        <f t="shared" si="1"/>
        <v>7.9083668957262002E-2</v>
      </c>
      <c r="H32" s="25"/>
      <c r="I32" s="16"/>
    </row>
    <row r="33" spans="1:9" x14ac:dyDescent="0.3">
      <c r="A33" t="s">
        <v>20</v>
      </c>
      <c r="B33" s="11">
        <v>1.59</v>
      </c>
      <c r="C33" s="22">
        <f>($B$7+273.15)/'Comp-Props'!C24</f>
        <v>0.94679895476073817</v>
      </c>
      <c r="D33" s="22">
        <f>$B$8/'Comp-Props'!D24</f>
        <v>5.8590332151874032</v>
      </c>
      <c r="E33" s="23">
        <f>('Comp-Props'!D24/PK!$B$13)^(PK!$B$16-1)*EXP(5.37*PK!$B$16*(1+'Comp-Props'!E24)*(1-1/PK!C33))/PK!D33</f>
        <v>0.86888192025449595</v>
      </c>
      <c r="F33" s="23">
        <f t="shared" si="0"/>
        <v>1.3815222532046487E-2</v>
      </c>
      <c r="G33" s="23">
        <f t="shared" si="1"/>
        <v>1.8299379500660899E-2</v>
      </c>
      <c r="H33" s="25"/>
      <c r="I33" s="16"/>
    </row>
    <row r="34" spans="1:9" x14ac:dyDescent="0.3">
      <c r="A34" t="s">
        <v>21</v>
      </c>
      <c r="B34" s="11">
        <v>3.7199999999999998</v>
      </c>
      <c r="C34" s="22">
        <f>($B$7+273.15)/'Comp-Props'!C25</f>
        <v>0.90894481028535579</v>
      </c>
      <c r="D34" s="22">
        <f>$B$8/'Comp-Props'!D25</f>
        <v>5.6291159254684349</v>
      </c>
      <c r="E34" s="23">
        <f>('Comp-Props'!D25/PK!$B$13)^(PK!$B$16-1)*EXP(5.37*PK!$B$16*(1+'Comp-Props'!E25)*(1-1/PK!C34))/PK!D34</f>
        <v>0.83303354975037214</v>
      </c>
      <c r="F34" s="23">
        <f t="shared" si="0"/>
        <v>3.0988848050713842E-2</v>
      </c>
      <c r="G34" s="23">
        <f t="shared" si="1"/>
        <v>4.4656064586051064E-2</v>
      </c>
      <c r="H34" s="25"/>
      <c r="I34" s="16"/>
    </row>
    <row r="35" spans="1:9" x14ac:dyDescent="0.3">
      <c r="A35" t="s">
        <v>22</v>
      </c>
      <c r="B35" s="11">
        <v>1.23</v>
      </c>
      <c r="C35" s="22">
        <f>($B$7+273.15)/'Comp-Props'!C26</f>
        <v>0.83945120185346067</v>
      </c>
      <c r="D35" s="22">
        <f>$B$8/'Comp-Props'!D26</f>
        <v>6.3217252792084135</v>
      </c>
      <c r="E35" s="23">
        <f>('Comp-Props'!D26/PK!$B$13)^(PK!$B$16-1)*EXP(5.37*PK!$B$16*(1+'Comp-Props'!E26)*(1-1/PK!C35))/PK!D35</f>
        <v>0.73485557326303841</v>
      </c>
      <c r="F35" s="23">
        <f t="shared" si="0"/>
        <v>9.038723551135372E-3</v>
      </c>
      <c r="G35" s="23">
        <f t="shared" si="1"/>
        <v>1.6737982873809228E-2</v>
      </c>
      <c r="H35" s="25"/>
      <c r="I35" s="16"/>
    </row>
    <row r="36" spans="1:9" x14ac:dyDescent="0.3">
      <c r="A36" t="s">
        <v>23</v>
      </c>
      <c r="B36" s="11">
        <v>2.11</v>
      </c>
      <c r="C36" s="22">
        <f>($B$7+273.15)/'Comp-Props'!C27</f>
        <v>0.82283017528919167</v>
      </c>
      <c r="D36" s="22">
        <f>$B$8/'Comp-Props'!D27</f>
        <v>6.3442425553587558</v>
      </c>
      <c r="E36" s="23">
        <f>('Comp-Props'!D27/PK!$B$13)^(PK!$B$16-1)*EXP(5.37*PK!$B$16*(1+'Comp-Props'!E27)*(1-1/PK!C36))/PK!D36</f>
        <v>0.7114664092393107</v>
      </c>
      <c r="F36" s="23">
        <f t="shared" si="0"/>
        <v>1.5011941234949455E-2</v>
      </c>
      <c r="G36" s="23">
        <f t="shared" si="1"/>
        <v>2.965705720746508E-2</v>
      </c>
      <c r="H36" s="25"/>
      <c r="I36" s="16"/>
    </row>
    <row r="37" spans="1:9" x14ac:dyDescent="0.3">
      <c r="A37" t="s">
        <v>24</v>
      </c>
      <c r="B37" s="11">
        <v>2.9499999999999997</v>
      </c>
      <c r="C37" s="22">
        <f>($B$7+273.15)/'Comp-Props'!C28</f>
        <v>0.76162688854828109</v>
      </c>
      <c r="D37" s="22">
        <f>$B$8/'Comp-Props'!D28</f>
        <v>7.0954451819638367</v>
      </c>
      <c r="E37" s="23">
        <f>('Comp-Props'!D28/PK!$B$13)^(PK!$B$16-1)*EXP(5.37*PK!$B$16*(1+'Comp-Props'!E28)*(1-1/PK!C37))/PK!D37</f>
        <v>0.61612844290609603</v>
      </c>
      <c r="F37" s="23">
        <f t="shared" si="0"/>
        <v>1.8175789065729829E-2</v>
      </c>
      <c r="G37" s="23">
        <f t="shared" si="1"/>
        <v>4.7879626950603354E-2</v>
      </c>
      <c r="H37" s="24"/>
      <c r="I37" s="16"/>
    </row>
    <row r="38" spans="1:9" x14ac:dyDescent="0.3">
      <c r="A38" t="s">
        <v>90</v>
      </c>
      <c r="B38" s="11">
        <v>15.78</v>
      </c>
      <c r="C38" s="22">
        <f>($B$7+273.15)/'Comp-Props'!C29</f>
        <v>0.6529047395588925</v>
      </c>
      <c r="D38" s="22">
        <f>$B$8/'Comp-Props'!D29</f>
        <v>7.5683593749999991</v>
      </c>
      <c r="E38" s="23">
        <f>('Comp-Props'!D29/PK!$B$13)^(PK!$B$16-1)*EXP(5.37*PK!$B$16*(1+'Comp-Props'!E29)*(1-1/PK!C38))/PK!D38</f>
        <v>0.46327942019062068</v>
      </c>
      <c r="F38" s="23">
        <f t="shared" ref="F38:F39" si="2">B38*E38/100</f>
        <v>7.3105492506079936E-2</v>
      </c>
      <c r="G38" s="23">
        <f t="shared" ref="G38:G39" si="3">B38/E38/100</f>
        <v>0.34061517331176011</v>
      </c>
      <c r="H38" s="26"/>
      <c r="I38" s="19"/>
    </row>
    <row r="39" spans="1:9" x14ac:dyDescent="0.3">
      <c r="A39" t="s">
        <v>91</v>
      </c>
      <c r="B39" s="11">
        <v>12.43</v>
      </c>
      <c r="C39" s="22">
        <f>($B$7+273.15)/'Comp-Props'!C30</f>
        <v>0.51303097345132731</v>
      </c>
      <c r="D39" s="22">
        <f>$B$8/'Comp-Props'!D30</f>
        <v>13.185878349638452</v>
      </c>
      <c r="E39" s="23">
        <f>('Comp-Props'!D30/PK!$B$13)^(PK!$B$16-1)*EXP(5.37*PK!$B$16*(1+'Comp-Props'!E30)*(1-1/PK!C39))/PK!D39</f>
        <v>0.19072207716961501</v>
      </c>
      <c r="F39" s="23">
        <f t="shared" si="2"/>
        <v>2.3706754192183144E-2</v>
      </c>
      <c r="G39" s="23">
        <f t="shared" si="3"/>
        <v>0.65173367365046142</v>
      </c>
      <c r="H39" s="26"/>
      <c r="I39" s="19"/>
    </row>
    <row r="40" spans="1:9" x14ac:dyDescent="0.3">
      <c r="A40" t="s">
        <v>92</v>
      </c>
      <c r="B40" s="11">
        <v>2.0500000000000003</v>
      </c>
      <c r="C40" s="22">
        <f>($B$7+273.15)/'Comp-Props'!C31</f>
        <v>0.4118583861227873</v>
      </c>
      <c r="D40" s="22">
        <f>$B$8/'Comp-Props'!D31</f>
        <v>23.031203566121842</v>
      </c>
      <c r="E40" s="23">
        <f>('Comp-Props'!D31/PK!$B$13)^(PK!$B$16-1)*EXP(5.37*PK!$B$16*(1+'Comp-Props'!E31)*(1-1/PK!C40))/PK!D40</f>
        <v>4.3909033307680249E-2</v>
      </c>
      <c r="F40" s="23">
        <f t="shared" si="0"/>
        <v>9.0013518280744522E-4</v>
      </c>
      <c r="G40" s="23">
        <f t="shared" si="1"/>
        <v>0.46687431846545097</v>
      </c>
      <c r="H40" s="26"/>
      <c r="I40" s="19"/>
    </row>
    <row r="42" spans="1:9" x14ac:dyDescent="0.3">
      <c r="B42" s="6">
        <f>SUM(B27:B40)</f>
        <v>100.00000000000001</v>
      </c>
      <c r="F42" s="6">
        <f>SUM(F27:F40)</f>
        <v>0.99999999999975064</v>
      </c>
      <c r="G42" s="6">
        <f>SUM(G27:G40)</f>
        <v>2.0419952964289929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5" zoomScaleNormal="115" workbookViewId="0"/>
  </sheetViews>
  <sheetFormatPr defaultColWidth="12.77734375" defaultRowHeight="14.4" x14ac:dyDescent="0.3"/>
  <sheetData>
    <row r="1" spans="1:7" x14ac:dyDescent="0.3">
      <c r="A1" s="4" t="s">
        <v>79</v>
      </c>
    </row>
    <row r="2" spans="1:7" x14ac:dyDescent="0.3">
      <c r="A2" t="s">
        <v>4</v>
      </c>
      <c r="G2" s="4" t="s">
        <v>80</v>
      </c>
    </row>
    <row r="3" spans="1:7" x14ac:dyDescent="0.3">
      <c r="A3">
        <v>20180213</v>
      </c>
      <c r="G3" s="4" t="s">
        <v>81</v>
      </c>
    </row>
    <row r="4" spans="1:7" x14ac:dyDescent="0.3">
      <c r="G4" s="40" t="s">
        <v>75</v>
      </c>
    </row>
    <row r="5" spans="1:7" x14ac:dyDescent="0.3">
      <c r="G5" s="40" t="s">
        <v>95</v>
      </c>
    </row>
    <row r="6" spans="1:7" x14ac:dyDescent="0.3">
      <c r="A6" s="4" t="s">
        <v>7</v>
      </c>
      <c r="G6" s="40" t="s">
        <v>94</v>
      </c>
    </row>
    <row r="7" spans="1:7" x14ac:dyDescent="0.3">
      <c r="A7" t="s">
        <v>2</v>
      </c>
      <c r="B7" s="36">
        <f>(236-32)/1.8</f>
        <v>113.33333333333333</v>
      </c>
      <c r="C7" t="s">
        <v>3</v>
      </c>
      <c r="G7" s="40" t="s">
        <v>85</v>
      </c>
    </row>
    <row r="8" spans="1:7" x14ac:dyDescent="0.3">
      <c r="A8" t="s">
        <v>68</v>
      </c>
      <c r="B8" s="35">
        <v>213.73753385001751</v>
      </c>
      <c r="C8" t="s">
        <v>1</v>
      </c>
      <c r="G8" s="4" t="s">
        <v>84</v>
      </c>
    </row>
    <row r="9" spans="1:7" x14ac:dyDescent="0.3">
      <c r="B9" s="31">
        <v>3100</v>
      </c>
      <c r="C9" t="s">
        <v>6</v>
      </c>
      <c r="G9" s="40" t="s">
        <v>76</v>
      </c>
    </row>
    <row r="10" spans="1:7" x14ac:dyDescent="0.3">
      <c r="A10" t="s">
        <v>59</v>
      </c>
      <c r="B10" s="3">
        <f>IF(ABS(F22)&lt;ABS(G22),0,1)</f>
        <v>0</v>
      </c>
      <c r="G10" s="40" t="s">
        <v>87</v>
      </c>
    </row>
    <row r="11" spans="1:7" x14ac:dyDescent="0.3">
      <c r="A11" t="s">
        <v>58</v>
      </c>
      <c r="B11" s="33" t="s">
        <v>60</v>
      </c>
      <c r="G11" s="40" t="s">
        <v>86</v>
      </c>
    </row>
    <row r="12" spans="1:7" x14ac:dyDescent="0.3">
      <c r="A12" t="s">
        <v>5</v>
      </c>
      <c r="B12" s="36">
        <v>279.2327496062843</v>
      </c>
      <c r="C12" t="s">
        <v>1</v>
      </c>
      <c r="G12" s="40"/>
    </row>
    <row r="13" spans="1:7" x14ac:dyDescent="0.3">
      <c r="B13" s="3">
        <f>B12*14.50377</f>
        <v>4049.927576757138</v>
      </c>
      <c r="C13" t="s">
        <v>6</v>
      </c>
      <c r="G13" s="40"/>
    </row>
    <row r="14" spans="1:7" x14ac:dyDescent="0.3">
      <c r="A14" t="s">
        <v>44</v>
      </c>
      <c r="B14" s="42">
        <v>0.7</v>
      </c>
      <c r="G14" s="40"/>
    </row>
    <row r="15" spans="1:7" x14ac:dyDescent="0.3">
      <c r="A15" t="s">
        <v>45</v>
      </c>
      <c r="B15" s="21">
        <f>1-(B8/B12)^B14</f>
        <v>0.17064568440431682</v>
      </c>
      <c r="G15" s="4"/>
    </row>
    <row r="16" spans="1:7" x14ac:dyDescent="0.3">
      <c r="A16" t="s">
        <v>71</v>
      </c>
      <c r="B16" s="41">
        <v>230.06198140152759</v>
      </c>
      <c r="C16" t="s">
        <v>1</v>
      </c>
      <c r="G16" s="40"/>
    </row>
    <row r="17" spans="1:9" x14ac:dyDescent="0.3">
      <c r="B17" s="3">
        <f>B16*14.50377</f>
        <v>3336.7660639920337</v>
      </c>
      <c r="C17" t="s">
        <v>6</v>
      </c>
      <c r="G17" s="40"/>
    </row>
    <row r="18" spans="1:9" x14ac:dyDescent="0.3">
      <c r="G18" s="40"/>
    </row>
    <row r="19" spans="1:9" x14ac:dyDescent="0.3">
      <c r="A19" s="39"/>
      <c r="B19" s="38"/>
    </row>
    <row r="21" spans="1:9" x14ac:dyDescent="0.3">
      <c r="E21" s="5" t="s">
        <v>66</v>
      </c>
      <c r="F21" s="5" t="s">
        <v>64</v>
      </c>
      <c r="G21" s="5" t="s">
        <v>65</v>
      </c>
    </row>
    <row r="22" spans="1:9" x14ac:dyDescent="0.3">
      <c r="A22" s="4" t="s">
        <v>39</v>
      </c>
      <c r="E22" s="37">
        <f>F22*G22</f>
        <v>-6.7673633097565865E-9</v>
      </c>
      <c r="F22" s="32">
        <f>1-F42</f>
        <v>6.494620397035078E-9</v>
      </c>
      <c r="G22" s="32">
        <f>1-G42</f>
        <v>-1.0419952046536887</v>
      </c>
    </row>
    <row r="23" spans="1:9" x14ac:dyDescent="0.3">
      <c r="A23" s="4" t="s">
        <v>42</v>
      </c>
      <c r="B23" s="13" t="s">
        <v>43</v>
      </c>
      <c r="C23" s="13"/>
      <c r="D23" s="13"/>
      <c r="E23" s="13"/>
      <c r="F23" s="13"/>
      <c r="G23" s="13"/>
      <c r="H23" s="13"/>
      <c r="I23" s="8"/>
    </row>
    <row r="24" spans="1:9" s="5" customFormat="1" x14ac:dyDescent="0.3">
      <c r="B24" s="8"/>
      <c r="C24" s="8"/>
      <c r="D24" s="8"/>
      <c r="E24" s="8"/>
      <c r="F24" s="8" t="s">
        <v>60</v>
      </c>
      <c r="G24" s="8" t="s">
        <v>62</v>
      </c>
      <c r="H24" s="8"/>
      <c r="I24" s="8"/>
    </row>
    <row r="25" spans="1:9" s="5" customFormat="1" x14ac:dyDescent="0.3">
      <c r="A25" s="5" t="s">
        <v>8</v>
      </c>
      <c r="B25" s="8" t="s">
        <v>40</v>
      </c>
      <c r="C25" s="5" t="s">
        <v>46</v>
      </c>
      <c r="D25" s="8" t="s">
        <v>47</v>
      </c>
      <c r="E25" s="8" t="s">
        <v>41</v>
      </c>
      <c r="F25" s="8" t="s">
        <v>61</v>
      </c>
      <c r="G25" s="8" t="s">
        <v>63</v>
      </c>
      <c r="H25" s="8"/>
      <c r="I25" s="8"/>
    </row>
    <row r="26" spans="1:9" s="5" customFormat="1" x14ac:dyDescent="0.3">
      <c r="B26" s="8"/>
      <c r="C26" s="8"/>
      <c r="D26" s="8"/>
      <c r="E26" s="9"/>
      <c r="F26" s="8"/>
      <c r="G26" s="8"/>
      <c r="H26" s="9"/>
      <c r="I26" s="8"/>
    </row>
    <row r="27" spans="1:9" x14ac:dyDescent="0.3">
      <c r="A27" t="s">
        <v>15</v>
      </c>
      <c r="B27" s="11">
        <v>0</v>
      </c>
      <c r="C27" s="22">
        <f>($B$7+273.15)/'Comp-Props'!C18</f>
        <v>3.0600422275006594</v>
      </c>
      <c r="D27" s="22">
        <f>$B$8/'Comp-Props'!D18</f>
        <v>6.2882475389825681</v>
      </c>
      <c r="E27" s="23">
        <f>('Comp-Props'!D18/PSAT!$B$12)^(PSAT!$B$15-1)*EXP(5.37*PSAT!$B$15*(1+'Comp-Props'!E18)*(1-1/PSAT!C27))/PSAT!D27</f>
        <v>1.7377415936945639</v>
      </c>
      <c r="F27" s="23">
        <f>B27*E27/100</f>
        <v>0</v>
      </c>
      <c r="G27" s="23">
        <f>B27/E27/100</f>
        <v>0</v>
      </c>
      <c r="H27" s="25"/>
      <c r="I27" s="16"/>
    </row>
    <row r="28" spans="1:9" x14ac:dyDescent="0.3">
      <c r="A28" t="s">
        <v>16</v>
      </c>
      <c r="B28" s="11">
        <v>1.1100000000000001</v>
      </c>
      <c r="C28" s="22">
        <f>($B$7+273.15)/'Comp-Props'!C19</f>
        <v>1.2704909051062896</v>
      </c>
      <c r="D28" s="22">
        <f>$B$8/'Comp-Props'!D19</f>
        <v>2.8953878874291186</v>
      </c>
      <c r="E28" s="23">
        <f>('Comp-Props'!D19/PSAT!$B$12)^(PSAT!$B$15-1)*EXP(5.37*PSAT!$B$15*(1+'Comp-Props'!E19)*(1-1/PSAT!C28))/PSAT!D28</f>
        <v>1.3237010016340438</v>
      </c>
      <c r="F28" s="23">
        <f t="shared" ref="F28:F40" si="0">B28*E28/100</f>
        <v>1.4693081118137887E-2</v>
      </c>
      <c r="G28" s="23">
        <f t="shared" ref="G28:G40" si="1">B28/E28/100</f>
        <v>8.3855795125164952E-3</v>
      </c>
      <c r="H28" s="25"/>
      <c r="I28" s="16"/>
    </row>
    <row r="29" spans="1:9" x14ac:dyDescent="0.3">
      <c r="A29" t="s">
        <v>28</v>
      </c>
      <c r="B29" s="11">
        <v>0</v>
      </c>
      <c r="C29" s="22">
        <f>($B$7+273.15)/'Comp-Props'!C20</f>
        <v>1.0344842969307635</v>
      </c>
      <c r="D29" s="22">
        <f>$B$8/'Comp-Props'!D20</f>
        <v>2.3735428523044702</v>
      </c>
      <c r="E29" s="23">
        <f>('Comp-Props'!D20/PSAT!$B$12)^(PSAT!$B$15-1)*EXP(5.37*PSAT!$B$15*(1+'Comp-Props'!E20)*(1-1/PSAT!C29))/PSAT!D29</f>
        <v>1.1138049678457584</v>
      </c>
      <c r="F29" s="23">
        <f t="shared" si="0"/>
        <v>0</v>
      </c>
      <c r="G29" s="23">
        <f t="shared" si="1"/>
        <v>0</v>
      </c>
      <c r="H29" s="25"/>
      <c r="I29" s="16"/>
    </row>
    <row r="30" spans="1:9" x14ac:dyDescent="0.3">
      <c r="A30" t="s">
        <v>17</v>
      </c>
      <c r="B30" s="11">
        <v>39.5</v>
      </c>
      <c r="C30" s="22">
        <f>($B$7+273.15)/'Comp-Props'!C21</f>
        <v>2.0277194823364812</v>
      </c>
      <c r="D30" s="22">
        <f>$B$8/'Comp-Props'!D21</f>
        <v>4.6424312304521616</v>
      </c>
      <c r="E30" s="23">
        <f>('Comp-Props'!D21/PSAT!$B$12)^(PSAT!$B$15-1)*EXP(5.37*PSAT!$B$15*(1+'Comp-Props'!E21)*(1-1/PSAT!C30))/PSAT!D30</f>
        <v>1.5364742544684318</v>
      </c>
      <c r="F30" s="23">
        <f t="shared" si="0"/>
        <v>0.60690733051503054</v>
      </c>
      <c r="G30" s="23">
        <f t="shared" si="1"/>
        <v>0.25708208181897368</v>
      </c>
      <c r="H30" s="25"/>
      <c r="I30" s="16"/>
    </row>
    <row r="31" spans="1:9" x14ac:dyDescent="0.3">
      <c r="A31" t="s">
        <v>18</v>
      </c>
      <c r="B31" s="11">
        <v>9.69</v>
      </c>
      <c r="C31" s="22">
        <f>($B$7+273.15)/'Comp-Props'!C22</f>
        <v>1.2654987993887796</v>
      </c>
      <c r="D31" s="22">
        <f>$B$8/'Comp-Props'!D22</f>
        <v>4.3798674969265887</v>
      </c>
      <c r="E31" s="23">
        <f>('Comp-Props'!D22/PSAT!$B$12)^(PSAT!$B$15-1)*EXP(5.37*PSAT!$B$15*(1+'Comp-Props'!E22)*(1-1/PSAT!C31))/PSAT!D31</f>
        <v>1.1964337489914771</v>
      </c>
      <c r="F31" s="23">
        <f t="shared" si="0"/>
        <v>0.11593443027727413</v>
      </c>
      <c r="G31" s="23">
        <f t="shared" si="1"/>
        <v>8.0990694287653597E-2</v>
      </c>
      <c r="H31" s="25"/>
      <c r="I31" s="16"/>
    </row>
    <row r="32" spans="1:9" x14ac:dyDescent="0.3">
      <c r="A32" t="s">
        <v>19</v>
      </c>
      <c r="B32" s="11">
        <v>7.84</v>
      </c>
      <c r="C32" s="22">
        <f>($B$7+273.15)/'Comp-Props'!C23</f>
        <v>1.0451144762934919</v>
      </c>
      <c r="D32" s="22">
        <f>$B$8/'Comp-Props'!D23</f>
        <v>5.0303020440107673</v>
      </c>
      <c r="E32" s="23">
        <f>('Comp-Props'!D23/PSAT!$B$12)^(PSAT!$B$15-1)*EXP(5.37*PSAT!$B$15*(1+'Comp-Props'!E23)*(1-1/PSAT!C32))/PSAT!D32</f>
        <v>0.99135511775458474</v>
      </c>
      <c r="F32" s="23">
        <f t="shared" si="0"/>
        <v>7.7722241231959449E-2</v>
      </c>
      <c r="G32" s="23">
        <f t="shared" si="1"/>
        <v>7.9083669006093066E-2</v>
      </c>
      <c r="H32" s="25"/>
      <c r="I32" s="16"/>
    </row>
    <row r="33" spans="1:9" x14ac:dyDescent="0.3">
      <c r="A33" t="s">
        <v>20</v>
      </c>
      <c r="B33" s="11">
        <v>1.59</v>
      </c>
      <c r="C33" s="22">
        <f>($B$7+273.15)/'Comp-Props'!C24</f>
        <v>0.94679895476073817</v>
      </c>
      <c r="D33" s="22">
        <f>$B$8/'Comp-Props'!D24</f>
        <v>5.8590332743974107</v>
      </c>
      <c r="E33" s="23">
        <f>('Comp-Props'!D24/PSAT!$B$12)^(PSAT!$B$15-1)*EXP(5.37*PSAT!$B$15*(1+'Comp-Props'!E24)*(1-1/PSAT!C33))/PSAT!D33</f>
        <v>0.86888192365715977</v>
      </c>
      <c r="F33" s="23">
        <f t="shared" si="0"/>
        <v>1.3815222586148842E-2</v>
      </c>
      <c r="G33" s="23">
        <f t="shared" si="1"/>
        <v>1.8299379428997956E-2</v>
      </c>
      <c r="H33" s="25"/>
      <c r="I33" s="16"/>
    </row>
    <row r="34" spans="1:9" x14ac:dyDescent="0.3">
      <c r="A34" t="s">
        <v>21</v>
      </c>
      <c r="B34" s="11">
        <v>3.7199999999999998</v>
      </c>
      <c r="C34" s="22">
        <f>($B$7+273.15)/'Comp-Props'!C25</f>
        <v>0.90894481028535579</v>
      </c>
      <c r="D34" s="22">
        <f>$B$8/'Comp-Props'!D25</f>
        <v>5.6291159823549517</v>
      </c>
      <c r="E34" s="23">
        <f>('Comp-Props'!D25/PSAT!$B$12)^(PSAT!$B$15-1)*EXP(5.37*PSAT!$B$15*(1+'Comp-Props'!E25)*(1-1/PSAT!C34))/PSAT!D34</f>
        <v>0.83303355421935044</v>
      </c>
      <c r="F34" s="23">
        <f t="shared" si="0"/>
        <v>3.0988848216959831E-2</v>
      </c>
      <c r="G34" s="23">
        <f t="shared" si="1"/>
        <v>4.4656064346484496E-2</v>
      </c>
      <c r="H34" s="25"/>
      <c r="I34" s="16"/>
    </row>
    <row r="35" spans="1:9" x14ac:dyDescent="0.3">
      <c r="A35" t="s">
        <v>22</v>
      </c>
      <c r="B35" s="11">
        <v>1.23</v>
      </c>
      <c r="C35" s="22">
        <f>($B$7+273.15)/'Comp-Props'!C26</f>
        <v>0.83945120185346067</v>
      </c>
      <c r="D35" s="22">
        <f>$B$8/'Comp-Props'!D26</f>
        <v>6.3217253430942772</v>
      </c>
      <c r="E35" s="23">
        <f>('Comp-Props'!D26/PSAT!$B$12)^(PSAT!$B$15-1)*EXP(5.37*PSAT!$B$15*(1+'Comp-Props'!E26)*(1-1/PSAT!C35))/PSAT!D35</f>
        <v>0.73485558037351095</v>
      </c>
      <c r="F35" s="23">
        <f t="shared" si="0"/>
        <v>9.0387236385941847E-3</v>
      </c>
      <c r="G35" s="23">
        <f t="shared" si="1"/>
        <v>1.673798271185228E-2</v>
      </c>
      <c r="H35" s="25"/>
      <c r="I35" s="16"/>
    </row>
    <row r="36" spans="1:9" x14ac:dyDescent="0.3">
      <c r="A36" t="s">
        <v>23</v>
      </c>
      <c r="B36" s="11">
        <v>2.11</v>
      </c>
      <c r="C36" s="22">
        <f>($B$7+273.15)/'Comp-Props'!C27</f>
        <v>0.82283017528919167</v>
      </c>
      <c r="D36" s="22">
        <f>$B$8/'Comp-Props'!D27</f>
        <v>6.3442426194721735</v>
      </c>
      <c r="E36" s="23">
        <f>('Comp-Props'!D27/PSAT!$B$12)^(PSAT!$B$15-1)*EXP(5.37*PSAT!$B$15*(1+'Comp-Props'!E27)*(1-1/PSAT!C36))/PSAT!D36</f>
        <v>0.71146641691466495</v>
      </c>
      <c r="F36" s="23">
        <f t="shared" si="0"/>
        <v>1.5011941396899429E-2</v>
      </c>
      <c r="G36" s="23">
        <f t="shared" si="1"/>
        <v>2.965705688752247E-2</v>
      </c>
      <c r="H36" s="25"/>
      <c r="I36" s="16"/>
    </row>
    <row r="37" spans="1:9" x14ac:dyDescent="0.3">
      <c r="A37" t="s">
        <v>24</v>
      </c>
      <c r="B37" s="11">
        <v>2.9499999999999997</v>
      </c>
      <c r="C37" s="22">
        <f>($B$7+273.15)/'Comp-Props'!C28</f>
        <v>0.76162688854828109</v>
      </c>
      <c r="D37" s="22">
        <f>$B$8/'Comp-Props'!D28</f>
        <v>7.0954452536687311</v>
      </c>
      <c r="E37" s="23">
        <f>('Comp-Props'!D28/PSAT!$B$12)^(PSAT!$B$15-1)*EXP(5.37*PSAT!$B$15*(1+'Comp-Props'!E28)*(1-1/PSAT!C37))/PSAT!D37</f>
        <v>0.61612845260056304</v>
      </c>
      <c r="F37" s="23">
        <f t="shared" si="0"/>
        <v>1.8175789351716608E-2</v>
      </c>
      <c r="G37" s="23">
        <f t="shared" si="1"/>
        <v>4.7879626197241842E-2</v>
      </c>
      <c r="H37" s="24"/>
      <c r="I37" s="19"/>
    </row>
    <row r="38" spans="1:9" x14ac:dyDescent="0.3">
      <c r="A38" t="s">
        <v>90</v>
      </c>
      <c r="B38" s="11">
        <v>15.78</v>
      </c>
      <c r="C38" s="22">
        <f>($B$7+273.15)/'Comp-Props'!C29</f>
        <v>0.6529047395588925</v>
      </c>
      <c r="D38" s="22">
        <f>$B$8/'Comp-Props'!D29</f>
        <v>7.5683594514840529</v>
      </c>
      <c r="E38" s="23">
        <f>('Comp-Props'!D29/PSAT!$B$12)^(PSAT!$B$15-1)*EXP(5.37*PSAT!$B$15*(1+'Comp-Props'!E29)*(1-1/PSAT!C38))/PSAT!D38</f>
        <v>0.46327943202149224</v>
      </c>
      <c r="F38" s="23">
        <f t="shared" ref="F38:F39" si="2">B38*E38/100</f>
        <v>7.3105494372991464E-2</v>
      </c>
      <c r="G38" s="23">
        <f t="shared" ref="G38:G39" si="3">B38/E38/100</f>
        <v>0.34061516461339347</v>
      </c>
      <c r="H38" s="26"/>
      <c r="I38" s="20"/>
    </row>
    <row r="39" spans="1:9" x14ac:dyDescent="0.3">
      <c r="A39" t="s">
        <v>91</v>
      </c>
      <c r="B39" s="11">
        <v>12.43</v>
      </c>
      <c r="C39" s="22">
        <f>($B$7+273.15)/'Comp-Props'!C30</f>
        <v>0.51303097345132731</v>
      </c>
      <c r="D39" s="22">
        <f>$B$8/'Comp-Props'!D30</f>
        <v>13.185878482891827</v>
      </c>
      <c r="E39" s="23">
        <f>('Comp-Props'!D30/PSAT!$B$12)^(PSAT!$B$15-1)*EXP(5.37*PSAT!$B$15*(1+'Comp-Props'!E30)*(1-1/PSAT!C39))/PSAT!D39</f>
        <v>0.19072208785965417</v>
      </c>
      <c r="F39" s="23">
        <f t="shared" si="2"/>
        <v>2.3706755520955011E-2</v>
      </c>
      <c r="G39" s="23">
        <f t="shared" si="3"/>
        <v>0.65173363712056309</v>
      </c>
      <c r="H39" s="26"/>
      <c r="I39" s="20"/>
    </row>
    <row r="40" spans="1:9" x14ac:dyDescent="0.3">
      <c r="A40" t="s">
        <v>92</v>
      </c>
      <c r="B40" s="11">
        <v>2.0500000000000003</v>
      </c>
      <c r="C40" s="22">
        <f>($B$7+273.15)/'Comp-Props'!C31</f>
        <v>0.4118583861227873</v>
      </c>
      <c r="D40" s="22">
        <f>$B$8/'Comp-Props'!D31</f>
        <v>23.03120379886975</v>
      </c>
      <c r="E40" s="23">
        <f>('Comp-Props'!D31/PSAT!$B$12)^(PSAT!$B$15-1)*EXP(5.37*PSAT!$B$15*(1+'Comp-Props'!E31)*(1-1/PSAT!C40))/PSAT!D40</f>
        <v>4.3909037985962157E-2</v>
      </c>
      <c r="F40" s="23">
        <f t="shared" si="0"/>
        <v>9.0013527871222435E-4</v>
      </c>
      <c r="G40" s="23">
        <f t="shared" si="1"/>
        <v>0.46687426872239629</v>
      </c>
      <c r="H40" s="26"/>
      <c r="I40" s="20"/>
    </row>
    <row r="42" spans="1:9" x14ac:dyDescent="0.3">
      <c r="B42" s="6">
        <f>SUM(B27:B40)</f>
        <v>100.00000000000001</v>
      </c>
      <c r="F42" s="6">
        <f>SUM(F27:F40)</f>
        <v>0.9999999935053796</v>
      </c>
      <c r="G42" s="6">
        <f>SUM(G27:G40)</f>
        <v>2.0419952046536887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115" zoomScaleNormal="115" workbookViewId="0"/>
  </sheetViews>
  <sheetFormatPr defaultColWidth="12.77734375" defaultRowHeight="14.4" x14ac:dyDescent="0.3"/>
  <sheetData>
    <row r="1" spans="1:4" x14ac:dyDescent="0.3">
      <c r="A1" s="4" t="s">
        <v>96</v>
      </c>
    </row>
    <row r="2" spans="1:4" x14ac:dyDescent="0.3">
      <c r="A2" t="s">
        <v>4</v>
      </c>
    </row>
    <row r="3" spans="1:4" x14ac:dyDescent="0.3">
      <c r="A3">
        <v>20180213</v>
      </c>
    </row>
    <row r="6" spans="1:4" x14ac:dyDescent="0.3">
      <c r="A6" s="4" t="s">
        <v>7</v>
      </c>
    </row>
    <row r="7" spans="1:4" x14ac:dyDescent="0.3">
      <c r="A7" t="s">
        <v>2</v>
      </c>
      <c r="B7" s="1">
        <v>15.56</v>
      </c>
      <c r="C7" t="s">
        <v>3</v>
      </c>
    </row>
    <row r="8" spans="1:4" x14ac:dyDescent="0.3">
      <c r="A8" t="s">
        <v>0</v>
      </c>
      <c r="B8" s="1">
        <v>1</v>
      </c>
      <c r="C8" t="s">
        <v>1</v>
      </c>
      <c r="D8" t="s">
        <v>34</v>
      </c>
    </row>
    <row r="9" spans="1:4" x14ac:dyDescent="0.3">
      <c r="B9" s="3">
        <f>B8*14.50377</f>
        <v>14.503769999999999</v>
      </c>
      <c r="C9" t="s">
        <v>6</v>
      </c>
    </row>
    <row r="10" spans="1:4" x14ac:dyDescent="0.3">
      <c r="A10" t="s">
        <v>5</v>
      </c>
      <c r="B10" s="44">
        <f>PK!B13</f>
        <v>279.23274960628373</v>
      </c>
      <c r="C10" t="s">
        <v>1</v>
      </c>
      <c r="D10" t="s">
        <v>33</v>
      </c>
    </row>
    <row r="11" spans="1:4" x14ac:dyDescent="0.3">
      <c r="B11" s="3">
        <f>B10*14.50377</f>
        <v>4049.9275767571298</v>
      </c>
      <c r="C11" t="s">
        <v>6</v>
      </c>
    </row>
    <row r="12" spans="1:4" x14ac:dyDescent="0.3">
      <c r="A12" t="s">
        <v>44</v>
      </c>
      <c r="B12" s="2">
        <v>0.7</v>
      </c>
    </row>
    <row r="13" spans="1:4" x14ac:dyDescent="0.3">
      <c r="A13" t="s">
        <v>45</v>
      </c>
      <c r="B13" s="21">
        <f>1-(B8/B10)^B12</f>
        <v>0.98059902513531227</v>
      </c>
    </row>
    <row r="14" spans="1:4" x14ac:dyDescent="0.3">
      <c r="A14" t="s">
        <v>51</v>
      </c>
      <c r="B14" s="7">
        <f>1/(1-MAX(E24:E37))</f>
        <v>-1.2796598202586961E-3</v>
      </c>
    </row>
    <row r="15" spans="1:4" x14ac:dyDescent="0.3">
      <c r="A15" t="s">
        <v>52</v>
      </c>
      <c r="B15" s="7">
        <f>1/(1-MIN(E24:E37))</f>
        <v>1.0000000000866103</v>
      </c>
    </row>
    <row r="16" spans="1:4" x14ac:dyDescent="0.3">
      <c r="A16" s="28" t="s">
        <v>50</v>
      </c>
      <c r="B16" s="29">
        <v>0.64750990832885369</v>
      </c>
      <c r="C16" t="s">
        <v>55</v>
      </c>
    </row>
    <row r="19" spans="1:11" x14ac:dyDescent="0.3">
      <c r="A19" s="4" t="s">
        <v>39</v>
      </c>
      <c r="G19" s="30" t="s">
        <v>53</v>
      </c>
    </row>
    <row r="20" spans="1:11" x14ac:dyDescent="0.3">
      <c r="A20" s="4" t="s">
        <v>42</v>
      </c>
      <c r="B20" s="13" t="s">
        <v>43</v>
      </c>
      <c r="C20" s="13"/>
      <c r="D20" s="13"/>
      <c r="E20" s="13"/>
      <c r="F20" s="8"/>
      <c r="G20" s="45">
        <f>SUM(G24:G37)</f>
        <v>2.8475000135586015E-12</v>
      </c>
      <c r="H20" s="13" t="s">
        <v>54</v>
      </c>
      <c r="I20" s="13"/>
      <c r="J20" s="13"/>
      <c r="K20" s="8"/>
    </row>
    <row r="21" spans="1:11" s="5" customFormat="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5" customFormat="1" x14ac:dyDescent="0.3">
      <c r="A22" s="5" t="s">
        <v>8</v>
      </c>
      <c r="B22" s="8" t="s">
        <v>40</v>
      </c>
      <c r="C22" s="5" t="s">
        <v>46</v>
      </c>
      <c r="D22" s="8" t="s">
        <v>47</v>
      </c>
      <c r="E22" s="8" t="s">
        <v>41</v>
      </c>
      <c r="F22" s="8" t="s">
        <v>48</v>
      </c>
      <c r="G22" s="8" t="s">
        <v>49</v>
      </c>
      <c r="H22" s="8" t="s">
        <v>56</v>
      </c>
      <c r="I22" s="8" t="s">
        <v>57</v>
      </c>
      <c r="J22" s="8"/>
      <c r="K22" s="8"/>
    </row>
    <row r="23" spans="1:11" s="5" customFormat="1" x14ac:dyDescent="0.3">
      <c r="B23" s="8"/>
      <c r="C23" s="8"/>
      <c r="D23" s="8"/>
      <c r="E23" s="9"/>
      <c r="F23" s="8"/>
      <c r="G23" s="8"/>
      <c r="H23" s="8"/>
      <c r="I23" s="8"/>
      <c r="J23" s="9"/>
      <c r="K23" s="8"/>
    </row>
    <row r="24" spans="1:11" x14ac:dyDescent="0.3">
      <c r="A24" t="s">
        <v>15</v>
      </c>
      <c r="B24" s="11">
        <v>0</v>
      </c>
      <c r="C24" s="22">
        <f>($B$7+273.15)/'Comp-Props'!C18</f>
        <v>2.2859065716547899</v>
      </c>
      <c r="D24" s="22">
        <f>$B$8/'Comp-Props'!D18</f>
        <v>2.942041776993233E-2</v>
      </c>
      <c r="E24" s="23">
        <f>('Comp-Props'!D18/'Flash-1'!$B$10)^('Flash-1'!$B$13-1)*EXP(5.37*'Flash-1'!$B$13*(1+'Comp-Props'!E18)*(1-1/'Flash-1'!C24))/'Flash-1'!D24</f>
        <v>782.45768443197653</v>
      </c>
      <c r="F24" s="23">
        <f>IF(E24=1,1E+30,1/(E24-1))</f>
        <v>1.2796598202586961E-3</v>
      </c>
      <c r="G24" s="27">
        <f t="shared" ref="G24:G37" si="0">IF(F24=1E+30,0,B24/($B$16+F24))</f>
        <v>0</v>
      </c>
      <c r="H24" s="27">
        <f>I24*E24</f>
        <v>0</v>
      </c>
      <c r="I24" s="27">
        <f>B24/($B$16*(E24-1)+1)</f>
        <v>0</v>
      </c>
      <c r="J24" s="25"/>
      <c r="K24" s="16"/>
    </row>
    <row r="25" spans="1:11" x14ac:dyDescent="0.3">
      <c r="A25" t="s">
        <v>16</v>
      </c>
      <c r="B25" s="11">
        <v>1.1100000000000001</v>
      </c>
      <c r="C25" s="22">
        <f>($B$7+273.15)/'Comp-Props'!C19</f>
        <v>0.94907955292570678</v>
      </c>
      <c r="D25" s="22">
        <f>$B$8/'Comp-Props'!D19</f>
        <v>1.3546464372798701E-2</v>
      </c>
      <c r="E25" s="23">
        <f>('Comp-Props'!D19/'Flash-1'!$B$10)^('Flash-1'!$B$13-1)*EXP(5.37*'Flash-1'!$B$13*(1+'Comp-Props'!E19)*(1-1/'Flash-1'!C25))/'Flash-1'!D25</f>
        <v>53.498522158205802</v>
      </c>
      <c r="F25" s="23">
        <f t="shared" ref="F25:F37" si="1">IF(E25=1,1E+30,1/(E25-1))</f>
        <v>1.9048155241141292E-2</v>
      </c>
      <c r="G25" s="27">
        <f t="shared" si="0"/>
        <v>1.6652712804267791</v>
      </c>
      <c r="H25" s="27">
        <f t="shared" ref="H25:H37" si="2">I25*E25</f>
        <v>1.6969916262949629</v>
      </c>
      <c r="I25" s="27">
        <f t="shared" ref="I25:I37" si="3">B25/($B$16*(E25-1)+1)</f>
        <v>3.1720345868183425E-2</v>
      </c>
      <c r="J25" s="25"/>
      <c r="K25" s="16"/>
    </row>
    <row r="26" spans="1:11" x14ac:dyDescent="0.3">
      <c r="A26" t="s">
        <v>28</v>
      </c>
      <c r="B26" s="11">
        <v>0</v>
      </c>
      <c r="C26" s="22">
        <f>($B$7+273.15)/'Comp-Props'!C20</f>
        <v>0.77277837259100635</v>
      </c>
      <c r="D26" s="22">
        <f>$B$8/'Comp-Props'!D20</f>
        <v>1.1104941699056081E-2</v>
      </c>
      <c r="E26" s="23">
        <f>('Comp-Props'!D20/'Flash-1'!$B$10)^('Flash-1'!$B$13-1)*EXP(5.37*'Flash-1'!$B$13*(1+'Comp-Props'!E20)*(1-1/'Flash-1'!C26))/'Flash-1'!D26</f>
        <v>16.762929196207676</v>
      </c>
      <c r="F26" s="23">
        <f t="shared" si="1"/>
        <v>6.3439985522524903E-2</v>
      </c>
      <c r="G26" s="27">
        <f t="shared" si="0"/>
        <v>0</v>
      </c>
      <c r="H26" s="27">
        <f t="shared" si="2"/>
        <v>0</v>
      </c>
      <c r="I26" s="27">
        <f t="shared" si="3"/>
        <v>0</v>
      </c>
      <c r="J26" s="25"/>
      <c r="K26" s="16"/>
    </row>
    <row r="27" spans="1:11" x14ac:dyDescent="0.3">
      <c r="A27" t="s">
        <v>17</v>
      </c>
      <c r="B27" s="11">
        <v>39.5</v>
      </c>
      <c r="C27" s="22">
        <f>($B$7+273.15)/'Comp-Props'!C21</f>
        <v>1.5147429171038824</v>
      </c>
      <c r="D27" s="22">
        <f>$B$8/'Comp-Props'!D21</f>
        <v>2.1720243266724587E-2</v>
      </c>
      <c r="E27" s="23">
        <f>('Comp-Props'!D21/'Flash-1'!$B$10)^('Flash-1'!$B$13-1)*EXP(5.37*'Flash-1'!$B$13*(1+'Comp-Props'!E21)*(1-1/'Flash-1'!C27))/'Flash-1'!D27</f>
        <v>291.34271624281274</v>
      </c>
      <c r="F27" s="23">
        <f t="shared" si="1"/>
        <v>3.4442055683039869E-3</v>
      </c>
      <c r="G27" s="27">
        <f t="shared" si="0"/>
        <v>60.680160331916255</v>
      </c>
      <c r="H27" s="27">
        <f t="shared" si="2"/>
        <v>60.889155278017014</v>
      </c>
      <c r="I27" s="27">
        <f t="shared" si="3"/>
        <v>0.20899494610076463</v>
      </c>
      <c r="J27" s="25"/>
      <c r="K27" s="16"/>
    </row>
    <row r="28" spans="1:11" x14ac:dyDescent="0.3">
      <c r="A28" t="s">
        <v>18</v>
      </c>
      <c r="B28" s="11">
        <v>9.69</v>
      </c>
      <c r="C28" s="22">
        <f>($B$7+273.15)/'Comp-Props'!C22</f>
        <v>0.94535036018336605</v>
      </c>
      <c r="D28" s="22">
        <f>$B$8/'Comp-Props'!D22</f>
        <v>2.0491803278688527E-2</v>
      </c>
      <c r="E28" s="23">
        <f>('Comp-Props'!D22/'Flash-1'!$B$10)^('Flash-1'!$B$13-1)*EXP(5.37*'Flash-1'!$B$13*(1+'Comp-Props'!E22)*(1-1/'Flash-1'!C28))/'Flash-1'!D28</f>
        <v>36.216697895840639</v>
      </c>
      <c r="F28" s="23">
        <f t="shared" si="1"/>
        <v>2.8395620820488899E-2</v>
      </c>
      <c r="G28" s="27">
        <f t="shared" si="0"/>
        <v>14.336323024602713</v>
      </c>
      <c r="H28" s="27">
        <f t="shared" si="2"/>
        <v>14.743411817169374</v>
      </c>
      <c r="I28" s="27">
        <f t="shared" si="3"/>
        <v>0.40708879256666308</v>
      </c>
      <c r="J28" s="25"/>
      <c r="K28" s="16"/>
    </row>
    <row r="29" spans="1:11" x14ac:dyDescent="0.3">
      <c r="A29" t="s">
        <v>19</v>
      </c>
      <c r="B29" s="11">
        <v>7.84</v>
      </c>
      <c r="C29" s="22">
        <f>($B$7+273.15)/'Comp-Props'!C23</f>
        <v>0.78071930773391018</v>
      </c>
      <c r="D29" s="22">
        <f>$B$8/'Comp-Props'!D23</f>
        <v>2.3534949399858788E-2</v>
      </c>
      <c r="E29" s="23">
        <f>('Comp-Props'!D23/'Flash-1'!$B$10)^('Flash-1'!$B$13-1)*EXP(5.37*'Flash-1'!$B$13*(1+'Comp-Props'!E23)*(1-1/'Flash-1'!C29))/'Flash-1'!D29</f>
        <v>8.098978912261769</v>
      </c>
      <c r="F29" s="23">
        <f t="shared" si="1"/>
        <v>0.14086532899439128</v>
      </c>
      <c r="G29" s="27">
        <f t="shared" si="0"/>
        <v>9.9445031107509134</v>
      </c>
      <c r="H29" s="27">
        <f t="shared" si="2"/>
        <v>11.345338813132591</v>
      </c>
      <c r="I29" s="27">
        <f t="shared" si="3"/>
        <v>1.4008357023816751</v>
      </c>
      <c r="J29" s="25"/>
      <c r="K29" s="16"/>
    </row>
    <row r="30" spans="1:11" x14ac:dyDescent="0.3">
      <c r="A30" t="s">
        <v>20</v>
      </c>
      <c r="B30" s="11">
        <v>1.59</v>
      </c>
      <c r="C30" s="22">
        <f>($B$7+273.15)/'Comp-Props'!C24</f>
        <v>0.70727584517393427</v>
      </c>
      <c r="D30" s="22">
        <f>$B$8/'Comp-Props'!D24</f>
        <v>2.7412280701754388E-2</v>
      </c>
      <c r="E30" s="23">
        <f>('Comp-Props'!D24/'Flash-1'!$B$10)^('Flash-1'!$B$13-1)*EXP(5.37*'Flash-1'!$B$13*(1+'Comp-Props'!E24)*(1-1/'Flash-1'!C30))/'Flash-1'!D30</f>
        <v>2.9275228988797455</v>
      </c>
      <c r="F30" s="23">
        <f t="shared" si="1"/>
        <v>0.51880058108839522</v>
      </c>
      <c r="G30" s="27">
        <f t="shared" si="0"/>
        <v>1.3632733430996142</v>
      </c>
      <c r="H30" s="27">
        <f t="shared" si="2"/>
        <v>2.0705403456820135</v>
      </c>
      <c r="I30" s="27">
        <f t="shared" si="3"/>
        <v>0.70726700258239905</v>
      </c>
      <c r="J30" s="25"/>
      <c r="K30" s="16"/>
    </row>
    <row r="31" spans="1:11" x14ac:dyDescent="0.3">
      <c r="A31" t="s">
        <v>21</v>
      </c>
      <c r="B31" s="11">
        <v>3.7199999999999998</v>
      </c>
      <c r="C31" s="22">
        <f>($B$7+273.15)/'Comp-Props'!C25</f>
        <v>0.67899811853245529</v>
      </c>
      <c r="D31" s="22">
        <f>$B$8/'Comp-Props'!D25</f>
        <v>2.6336581511719779E-2</v>
      </c>
      <c r="E31" s="23">
        <f>('Comp-Props'!D25/'Flash-1'!$B$10)^('Flash-1'!$B$13-1)*EXP(5.37*'Flash-1'!$B$13*(1+'Comp-Props'!E25)*(1-1/'Flash-1'!C31))/'Flash-1'!D31</f>
        <v>2.0260356877047325</v>
      </c>
      <c r="F31" s="23">
        <f t="shared" si="1"/>
        <v>0.97462496868605519</v>
      </c>
      <c r="G31" s="27">
        <f t="shared" si="0"/>
        <v>2.2932741615454519</v>
      </c>
      <c r="H31" s="27">
        <f t="shared" si="2"/>
        <v>4.5283564194302279</v>
      </c>
      <c r="I31" s="27">
        <f t="shared" si="3"/>
        <v>2.2350822578847755</v>
      </c>
      <c r="J31" s="25"/>
      <c r="K31" s="16"/>
    </row>
    <row r="32" spans="1:11" x14ac:dyDescent="0.3">
      <c r="A32" t="s">
        <v>22</v>
      </c>
      <c r="B32" s="11">
        <v>1.23</v>
      </c>
      <c r="C32" s="22">
        <f>($B$7+273.15)/'Comp-Props'!C26</f>
        <v>0.62708514335360555</v>
      </c>
      <c r="D32" s="22">
        <f>$B$8/'Comp-Props'!D26</f>
        <v>2.9577048210588583E-2</v>
      </c>
      <c r="E32" s="23">
        <f>('Comp-Props'!D26/'Flash-1'!$B$10)^('Flash-1'!$B$13-1)*EXP(5.37*'Flash-1'!$B$13*(1+'Comp-Props'!E26)*(1-1/'Flash-1'!C32))/'Flash-1'!D32</f>
        <v>0.75461974862311465</v>
      </c>
      <c r="F32" s="23">
        <f t="shared" si="1"/>
        <v>-4.0753075864449917</v>
      </c>
      <c r="G32" s="27">
        <f t="shared" si="0"/>
        <v>-0.35883097997662106</v>
      </c>
      <c r="H32" s="27">
        <f t="shared" si="2"/>
        <v>1.1035156349735937</v>
      </c>
      <c r="I32" s="27">
        <f t="shared" si="3"/>
        <v>1.4623466149502147</v>
      </c>
      <c r="J32" s="25"/>
      <c r="K32" s="16"/>
    </row>
    <row r="33" spans="1:11" x14ac:dyDescent="0.3">
      <c r="A33" t="s">
        <v>23</v>
      </c>
      <c r="B33" s="11">
        <v>2.11</v>
      </c>
      <c r="C33" s="22">
        <f>($B$7+273.15)/'Comp-Props'!C27</f>
        <v>0.61466893761975727</v>
      </c>
      <c r="D33" s="22">
        <f>$B$8/'Comp-Props'!D27</f>
        <v>2.9682398337785694E-2</v>
      </c>
      <c r="E33" s="23">
        <f>('Comp-Props'!D27/'Flash-1'!$B$10)^('Flash-1'!$B$13-1)*EXP(5.37*'Flash-1'!$B$13*(1+'Comp-Props'!E27)*(1-1/'Flash-1'!C33))/'Flash-1'!D33</f>
        <v>0.56470983736346558</v>
      </c>
      <c r="F33" s="23">
        <f t="shared" si="1"/>
        <v>-2.2973181703511094</v>
      </c>
      <c r="G33" s="27">
        <f t="shared" si="0"/>
        <v>-1.2789364973925292</v>
      </c>
      <c r="H33" s="27">
        <f t="shared" si="2"/>
        <v>1.6591875567925323</v>
      </c>
      <c r="I33" s="27">
        <f t="shared" si="3"/>
        <v>2.9381240541850615</v>
      </c>
      <c r="J33" s="25"/>
      <c r="K33" s="16"/>
    </row>
    <row r="34" spans="1:11" x14ac:dyDescent="0.3">
      <c r="A34" t="s">
        <v>24</v>
      </c>
      <c r="B34" s="11">
        <v>2.9499999999999997</v>
      </c>
      <c r="C34" s="22">
        <f>($B$7+273.15)/'Comp-Props'!C28</f>
        <v>0.56894898182614406</v>
      </c>
      <c r="D34" s="22">
        <f>$B$8/'Comp-Props'!D28</f>
        <v>3.3197001602197303E-2</v>
      </c>
      <c r="E34" s="23">
        <f>('Comp-Props'!D28/'Flash-1'!$B$10)^('Flash-1'!$B$13-1)*EXP(5.37*'Flash-1'!$B$13*(1+'Comp-Props'!E28)*(1-1/'Flash-1'!C34))/'Flash-1'!D34</f>
        <v>0.17893555889612175</v>
      </c>
      <c r="F34" s="23">
        <f t="shared" si="1"/>
        <v>-1.2179311999622737</v>
      </c>
      <c r="G34" s="27">
        <f t="shared" si="0"/>
        <v>-5.1716162129091963</v>
      </c>
      <c r="H34" s="27">
        <f t="shared" si="2"/>
        <v>1.1270565270236503</v>
      </c>
      <c r="I34" s="27">
        <f t="shared" si="3"/>
        <v>6.2986727399328464</v>
      </c>
      <c r="J34" s="24"/>
      <c r="K34" s="19"/>
    </row>
    <row r="35" spans="1:11" x14ac:dyDescent="0.3">
      <c r="A35" t="s">
        <v>25</v>
      </c>
      <c r="B35" s="11">
        <v>15.78</v>
      </c>
      <c r="C35" s="22">
        <f>($B$7+273.15)/'Comp-Props'!C29</f>
        <v>0.48773158141717499</v>
      </c>
      <c r="D35" s="22">
        <f>$B$8/'Comp-Props'!D29</f>
        <v>3.5409594726562493E-2</v>
      </c>
      <c r="E35" s="23">
        <f>('Comp-Props'!D29/'Flash-1'!$B$10)^('Flash-1'!$B$13-1)*EXP(5.37*'Flash-1'!$B$13*(1+'Comp-Props'!E29)*(1-1/'Flash-1'!C35))/'Flash-1'!D35</f>
        <v>1.9336572015726292E-2</v>
      </c>
      <c r="F35" s="23">
        <f t="shared" ref="F35:F36" si="4">IF(E35=1,1E+30,1/(E35-1))</f>
        <v>-1.0197178475957567</v>
      </c>
      <c r="G35" s="27">
        <f t="shared" ref="G35:G36" si="5">IF(F35=1E+30,0,B35/($B$16+F35))</f>
        <v>-42.395656661918949</v>
      </c>
      <c r="H35" s="27">
        <f t="shared" ref="H35:H36" si="6">I35*E35</f>
        <v>0.83595109678174739</v>
      </c>
      <c r="I35" s="27">
        <f t="shared" ref="I35:I36" si="7">B35/($B$16*(E35-1)+1)</f>
        <v>43.23160775870069</v>
      </c>
      <c r="J35" s="26"/>
      <c r="K35" s="20"/>
    </row>
    <row r="36" spans="1:11" x14ac:dyDescent="0.3">
      <c r="A36" t="s">
        <v>25</v>
      </c>
      <c r="B36" s="11">
        <v>12.43</v>
      </c>
      <c r="C36" s="22">
        <f>($B$7+273.15)/'Comp-Props'!C30</f>
        <v>0.38324336283185834</v>
      </c>
      <c r="D36" s="22">
        <f>$B$8/'Comp-Props'!D30</f>
        <v>6.1691918332624412E-2</v>
      </c>
      <c r="E36" s="23">
        <f>('Comp-Props'!D30/'Flash-1'!$B$10)^('Flash-1'!$B$13-1)*EXP(5.37*'Flash-1'!$B$13*(1+'Comp-Props'!E30)*(1-1/'Flash-1'!C36))/'Flash-1'!D36</f>
        <v>1.4034293971243568E-5</v>
      </c>
      <c r="F36" s="23">
        <f t="shared" si="4"/>
        <v>-1.0000140344909354</v>
      </c>
      <c r="G36" s="27">
        <f t="shared" si="5"/>
        <v>-35.261998590860962</v>
      </c>
      <c r="H36" s="27">
        <f t="shared" si="6"/>
        <v>4.9488419958805779E-4</v>
      </c>
      <c r="I36" s="27">
        <f t="shared" si="7"/>
        <v>35.262493475060538</v>
      </c>
      <c r="J36" s="26"/>
      <c r="K36" s="20"/>
    </row>
    <row r="37" spans="1:11" x14ac:dyDescent="0.3">
      <c r="A37" t="s">
        <v>25</v>
      </c>
      <c r="B37" s="11">
        <v>2.0500000000000003</v>
      </c>
      <c r="C37" s="22">
        <f>($B$7+273.15)/'Comp-Props'!C31</f>
        <v>0.30766562074477533</v>
      </c>
      <c r="D37" s="22">
        <f>$B$8/'Comp-Props'!D31</f>
        <v>0.10775460624071323</v>
      </c>
      <c r="E37" s="23">
        <f>('Comp-Props'!D31/'Flash-1'!$B$10)^('Flash-1'!$B$13-1)*EXP(5.37*'Flash-1'!$B$13*(1+'Comp-Props'!E31)*(1-1/'Flash-1'!C37))/'Flash-1'!D37</f>
        <v>8.6610237201436548E-11</v>
      </c>
      <c r="F37" s="23">
        <f t="shared" si="1"/>
        <v>-1.0000000000866103</v>
      </c>
      <c r="G37" s="27">
        <f t="shared" si="0"/>
        <v>-5.8157663092806349</v>
      </c>
      <c r="H37" s="27">
        <f t="shared" si="2"/>
        <v>5.0370489959854499E-10</v>
      </c>
      <c r="I37" s="27">
        <f t="shared" si="3"/>
        <v>5.8157663097843395</v>
      </c>
      <c r="J37" s="26"/>
      <c r="K37" s="20"/>
    </row>
    <row r="39" spans="1:11" x14ac:dyDescent="0.3">
      <c r="B39" s="6">
        <f>SUM(B24:B37)</f>
        <v>100.00000000000001</v>
      </c>
      <c r="H39" s="6">
        <f>SUM(H24:H37)</f>
        <v>100.00000000000098</v>
      </c>
      <c r="I39" s="6">
        <f>SUM(I24:I37)</f>
        <v>99.999999999998153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Comp-Props</vt:lpstr>
      <vt:lpstr>PK</vt:lpstr>
      <vt:lpstr>PSAT</vt:lpstr>
      <vt:lpstr>Flash-1</vt:lpstr>
      <vt:lpstr>Eqs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Hays Whitson</dc:creator>
  <cp:lastModifiedBy>Curtis Hays Whitson</cp:lastModifiedBy>
  <dcterms:created xsi:type="dcterms:W3CDTF">2018-02-01T11:12:33Z</dcterms:created>
  <dcterms:modified xsi:type="dcterms:W3CDTF">2018-02-15T07:44:21Z</dcterms:modified>
</cp:coreProperties>
</file>