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\ntnu\PVT-Courses-NTNU\TPG4145-2017\Home-Work-Problems\Problem-5\"/>
    </mc:Choice>
  </mc:AlternateContent>
  <bookViews>
    <workbookView xWindow="0" yWindow="0" windowWidth="23040" windowHeight="88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6" i="1"/>
  <c r="C25" i="1"/>
  <c r="G83" i="1" l="1"/>
  <c r="E83" i="1"/>
  <c r="E81" i="1"/>
  <c r="E24" i="1"/>
  <c r="E68" i="1"/>
  <c r="E58" i="1"/>
  <c r="E36" i="1"/>
  <c r="E39" i="1"/>
  <c r="E35" i="1"/>
  <c r="E21" i="1"/>
  <c r="G21" i="1" s="1"/>
  <c r="E20" i="1"/>
  <c r="G20" i="1" s="1"/>
  <c r="E19" i="1"/>
  <c r="G19" i="1" s="1"/>
  <c r="G18" i="1"/>
  <c r="E18" i="1"/>
  <c r="E17" i="1"/>
  <c r="G17" i="1" s="1"/>
  <c r="E14" i="1"/>
  <c r="G14" i="1" s="1"/>
  <c r="E13" i="1"/>
  <c r="G13" i="1" s="1"/>
  <c r="G12" i="1"/>
  <c r="E12" i="1" s="1"/>
  <c r="E11" i="1"/>
  <c r="G11" i="1" s="1"/>
  <c r="G10" i="1"/>
  <c r="E10" i="1" s="1"/>
  <c r="E9" i="1"/>
  <c r="G9" i="1" s="1"/>
  <c r="E8" i="1"/>
  <c r="G8" i="1" s="1"/>
  <c r="E7" i="1"/>
  <c r="G7" i="1" s="1"/>
  <c r="E6" i="1"/>
  <c r="G6" i="1" s="1"/>
  <c r="G5" i="1"/>
  <c r="E5" i="1"/>
  <c r="E43" i="1" s="1"/>
  <c r="E45" i="1" l="1"/>
  <c r="E48" i="1"/>
  <c r="E25" i="1"/>
  <c r="E26" i="1" s="1"/>
  <c r="E27" i="1" s="1"/>
  <c r="E28" i="1" s="1"/>
  <c r="E44" i="1" s="1"/>
  <c r="E50" i="1" l="1"/>
  <c r="E49" i="1"/>
  <c r="E54" i="1" s="1"/>
  <c r="E67" i="1" l="1"/>
  <c r="E59" i="1"/>
  <c r="E60" i="1" s="1"/>
  <c r="E53" i="1"/>
  <c r="E63" i="1" s="1"/>
  <c r="E64" i="1" l="1"/>
  <c r="E71" i="1"/>
  <c r="E69" i="1" l="1"/>
  <c r="E73" i="1" s="1"/>
  <c r="E82" i="1"/>
  <c r="E70" i="1" l="1"/>
  <c r="E74" i="1" s="1"/>
  <c r="E75" i="1" s="1"/>
  <c r="E76" i="1" s="1"/>
  <c r="E84" i="1"/>
  <c r="G82" i="1"/>
</calcChain>
</file>

<file path=xl/sharedStrings.xml><?xml version="1.0" encoding="utf-8"?>
<sst xmlns="http://schemas.openxmlformats.org/spreadsheetml/2006/main" count="197" uniqueCount="153">
  <si>
    <t>TPG 4145 (2016) Problem 5</t>
  </si>
  <si>
    <t>Average Well Properties</t>
  </si>
  <si>
    <t>Average Reservoir Properties</t>
  </si>
  <si>
    <t>Temperature</t>
  </si>
  <si>
    <t>Initial Pressure (at datum depth)</t>
  </si>
  <si>
    <t>Datum Depth</t>
  </si>
  <si>
    <t>Gas specific gravity</t>
  </si>
  <si>
    <t>Permeability</t>
  </si>
  <si>
    <t>Thickness</t>
  </si>
  <si>
    <t>Initial Gas in Place</t>
  </si>
  <si>
    <t>Initial (irreducible) water saturation</t>
  </si>
  <si>
    <t>Porosity</t>
  </si>
  <si>
    <t>oC</t>
  </si>
  <si>
    <t>air=1</t>
  </si>
  <si>
    <t>bara</t>
  </si>
  <si>
    <t>md</t>
  </si>
  <si>
    <t>1/(Sm3/d)</t>
  </si>
  <si>
    <t>Sm3</t>
  </si>
  <si>
    <t>m</t>
  </si>
  <si>
    <t>Average tubing temperature</t>
  </si>
  <si>
    <t>Wellbore radius</t>
  </si>
  <si>
    <t>oR</t>
  </si>
  <si>
    <t>psia</t>
  </si>
  <si>
    <t>ft</t>
  </si>
  <si>
    <t>1/(Mscf/D)</t>
  </si>
  <si>
    <t>scf</t>
  </si>
  <si>
    <t>Fetkovich</t>
  </si>
  <si>
    <t>Units</t>
  </si>
  <si>
    <t>Provided</t>
  </si>
  <si>
    <t>Data</t>
  </si>
  <si>
    <t>oF</t>
  </si>
  <si>
    <t>Field</t>
  </si>
  <si>
    <t>1/(scf/D)</t>
  </si>
  <si>
    <t>Mscf</t>
  </si>
  <si>
    <t>in</t>
  </si>
  <si>
    <t>Step 1. Calculate AR' BR'</t>
  </si>
  <si>
    <t>AR'</t>
  </si>
  <si>
    <t>cp</t>
  </si>
  <si>
    <t>Low-Pressure PVT Properties in Reservoir</t>
  </si>
  <si>
    <t>Zg at standard pressure</t>
  </si>
  <si>
    <t>ug at standard pressure</t>
  </si>
  <si>
    <t>Zg at average tubing conditions</t>
  </si>
  <si>
    <t>Zg at 150 bara TR</t>
  </si>
  <si>
    <t>ug at 150 bara TR</t>
  </si>
  <si>
    <t>ugZg at standard pressure</t>
  </si>
  <si>
    <t>ugZg at 150 bara TR</t>
  </si>
  <si>
    <t xml:space="preserve">ugZg used in AR constant </t>
  </si>
  <si>
    <t>BR'</t>
  </si>
  <si>
    <t>1424(uZ)T/(kh)</t>
  </si>
  <si>
    <t>Fetkovich Parameters</t>
  </si>
  <si>
    <t>Gas Initial FVF (Bgi)</t>
  </si>
  <si>
    <t>ft3/scf</t>
  </si>
  <si>
    <t>m3/scf</t>
  </si>
  <si>
    <t>Gas HCPV</t>
  </si>
  <si>
    <t>ft3</t>
  </si>
  <si>
    <t>Total Area</t>
  </si>
  <si>
    <t>ft2</t>
  </si>
  <si>
    <t>Average well drainage area (max wells), re</t>
  </si>
  <si>
    <t>ln(re/rw)</t>
  </si>
  <si>
    <t>S</t>
  </si>
  <si>
    <t>exp(S)</t>
  </si>
  <si>
    <t>exp(S/2)</t>
  </si>
  <si>
    <t>CT</t>
  </si>
  <si>
    <t>BT=1/CT^2</t>
  </si>
  <si>
    <t>AR''</t>
  </si>
  <si>
    <t>BR''</t>
  </si>
  <si>
    <t>Step 6. Solve WH rate equation with contraints</t>
  </si>
  <si>
    <t>Gas well rate</t>
  </si>
  <si>
    <t>Sm3/d</t>
  </si>
  <si>
    <t>Mscf/D</t>
  </si>
  <si>
    <t>Pressure drop Reservoir</t>
  </si>
  <si>
    <t>Pressure drop Total</t>
  </si>
  <si>
    <t>Pressure drop Tubing</t>
  </si>
  <si>
    <t>Pressure-squared Total (Awh Bwh)</t>
  </si>
  <si>
    <t>Awh</t>
  </si>
  <si>
    <t>Bwh</t>
  </si>
  <si>
    <t>Pressure-squared Reservoir (AR'' BR'')</t>
  </si>
  <si>
    <t>Pressure-squared Tubing (BT)</t>
  </si>
  <si>
    <t>psia^2</t>
  </si>
  <si>
    <t>psi</t>
  </si>
  <si>
    <t>pc</t>
  </si>
  <si>
    <t>Average reservoir pressure at surface datum (pc)</t>
  </si>
  <si>
    <t>%</t>
  </si>
  <si>
    <t>Contribution of pressure drop in Tubing</t>
  </si>
  <si>
    <t>Surface-Datum Pressure Drops</t>
  </si>
  <si>
    <t>TR</t>
  </si>
  <si>
    <t>pRi</t>
  </si>
  <si>
    <t>SG</t>
  </si>
  <si>
    <t>k</t>
  </si>
  <si>
    <t>h</t>
  </si>
  <si>
    <t>D</t>
  </si>
  <si>
    <t>s*</t>
  </si>
  <si>
    <t>G</t>
  </si>
  <si>
    <t>Swi</t>
  </si>
  <si>
    <t>φ</t>
  </si>
  <si>
    <t>TVD</t>
  </si>
  <si>
    <t>rw</t>
  </si>
  <si>
    <t>Nw</t>
  </si>
  <si>
    <t>Bgi</t>
  </si>
  <si>
    <t>A</t>
  </si>
  <si>
    <t>Vpg</t>
  </si>
  <si>
    <t>re</t>
  </si>
  <si>
    <t>Darcy term</t>
  </si>
  <si>
    <t>Rate-dependent term</t>
  </si>
  <si>
    <t>Constant</t>
  </si>
  <si>
    <t>Gravity term</t>
  </si>
  <si>
    <t>Step 2. Gas Gradient Column</t>
  </si>
  <si>
    <t>Convert surface to reservoir pressure</t>
  </si>
  <si>
    <t>Convert surface to reservoir pressure-squared</t>
  </si>
  <si>
    <t>dT</t>
  </si>
  <si>
    <t>Fr</t>
  </si>
  <si>
    <t>BT</t>
  </si>
  <si>
    <t>Tubing rate constant</t>
  </si>
  <si>
    <t>Friction factor</t>
  </si>
  <si>
    <t>Rate-dependent reservoir + turbulent tubing term</t>
  </si>
  <si>
    <t>qg</t>
  </si>
  <si>
    <t>pc2-pt2</t>
  </si>
  <si>
    <t>pc2-pw2</t>
  </si>
  <si>
    <t>pw2-pt2</t>
  </si>
  <si>
    <t>pc-pt</t>
  </si>
  <si>
    <t>pc-pw</t>
  </si>
  <si>
    <t>pw-pt</t>
  </si>
  <si>
    <t>(pw-pt)/(pc-pt)</t>
  </si>
  <si>
    <t>Tubing inner diameter required so (pc-pw)=(pw-pt)</t>
  </si>
  <si>
    <t>dT,design</t>
  </si>
  <si>
    <t>Actual tubing diameter used for field development (max 6")</t>
  </si>
  <si>
    <t>dT,actual</t>
  </si>
  <si>
    <t>Step 7. Number of Wells at end plateau to deliver DCQ</t>
  </si>
  <si>
    <t>qg,Field</t>
  </si>
  <si>
    <t>qg,end-plat</t>
  </si>
  <si>
    <t>Nw,field</t>
  </si>
  <si>
    <t>pt,min</t>
  </si>
  <si>
    <t>Tt,avg</t>
  </si>
  <si>
    <t>MMscf/D</t>
  </si>
  <si>
    <t>bcf/D</t>
  </si>
  <si>
    <t>Average well gas rate at pt,min end plateau</t>
  </si>
  <si>
    <t>WH pressure-squared at pt,min end plateau</t>
  </si>
  <si>
    <t>Field gas rate throughout plateau period (DCQ)</t>
  </si>
  <si>
    <t>Number of wells (rounded up) to deliver DCQ end plateau</t>
  </si>
  <si>
    <t>Average reservoir pressure end plateau</t>
  </si>
  <si>
    <t>Maximum number of wells (economic limit)</t>
  </si>
  <si>
    <t>Specified Tubing diameter (to solve problem)</t>
  </si>
  <si>
    <t>Nomenclature</t>
  </si>
  <si>
    <t>Curtis'</t>
  </si>
  <si>
    <t>m3</t>
  </si>
  <si>
    <t>m2</t>
  </si>
  <si>
    <t>Step 3. Reservoir Rate Eq. using surface pressures</t>
  </si>
  <si>
    <t>Step 4. Tubing Rate Eq. constants</t>
  </si>
  <si>
    <t>Step 5. Wellhead Rate Eq. constants</t>
  </si>
  <si>
    <t>Rate-dependent skin constant</t>
  </si>
  <si>
    <t>Constant skin</t>
  </si>
  <si>
    <t>Minimum tubing pressure (end plateau)</t>
  </si>
  <si>
    <r>
      <t>PVT Properties from Gas-PVT e-note (Ex-1.xls):</t>
    </r>
    <r>
      <rPr>
        <b/>
        <i/>
        <sz val="11"/>
        <color rgb="FFFB0DDF"/>
        <rFont val="Calibri"/>
        <family val="2"/>
        <scheme val="minor"/>
      </rPr>
      <t xml:space="preserve"> </t>
    </r>
    <r>
      <rPr>
        <i/>
        <sz val="11"/>
        <color rgb="FFFB0DDF"/>
        <rFont val="Calibri"/>
        <family val="2"/>
        <scheme val="minor"/>
      </rPr>
      <t>read manually in this solution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</si>
</sst>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11"/>
      <color rgb="FFFB0DDF"/>
      <name val="Calibri"/>
      <family val="2"/>
      <scheme val="minor"/>
    </font>
    <font>
      <b/>
      <i/>
      <sz val="11"/>
      <color rgb="FFFB0DDF"/>
      <name val="Calibri"/>
      <family val="2"/>
      <scheme val="minor"/>
    </font>
    <font>
      <i/>
      <sz val="11"/>
      <color rgb="FFFB0DD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quotePrefix="1"/>
    <xf numFmtId="11" fontId="0" fillId="0" borderId="0" xfId="0" applyNumberFormat="1"/>
    <xf numFmtId="0" fontId="2" fillId="0" borderId="0" xfId="0" applyFont="1"/>
    <xf numFmtId="11" fontId="2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/>
    <xf numFmtId="166" fontId="0" fillId="0" borderId="0" xfId="0" applyNumberFormat="1"/>
    <xf numFmtId="0" fontId="0" fillId="0" borderId="0" xfId="0" applyFont="1"/>
    <xf numFmtId="2" fontId="2" fillId="0" borderId="0" xfId="0" applyNumberFormat="1" applyFont="1"/>
    <xf numFmtId="0" fontId="4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1" fontId="6" fillId="0" borderId="0" xfId="0" applyNumberFormat="1" applyFont="1"/>
    <xf numFmtId="0" fontId="6" fillId="0" borderId="0" xfId="0" applyFont="1"/>
    <xf numFmtId="164" fontId="7" fillId="2" borderId="1" xfId="0" applyNumberFormat="1" applyFont="1" applyFill="1" applyBorder="1"/>
    <xf numFmtId="1" fontId="1" fillId="2" borderId="1" xfId="0" applyNumberFormat="1" applyFont="1" applyFill="1" applyBorder="1"/>
    <xf numFmtId="164" fontId="1" fillId="2" borderId="1" xfId="0" applyNumberFormat="1" applyFont="1" applyFill="1" applyBorder="1"/>
    <xf numFmtId="0" fontId="7" fillId="0" borderId="0" xfId="0" applyFont="1"/>
    <xf numFmtId="165" fontId="7" fillId="0" borderId="0" xfId="0" applyNumberFormat="1" applyFont="1"/>
    <xf numFmtId="166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0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2841</xdr:colOff>
      <xdr:row>0</xdr:row>
      <xdr:rowOff>0</xdr:rowOff>
    </xdr:from>
    <xdr:to>
      <xdr:col>22</xdr:col>
      <xdr:colOff>355953</xdr:colOff>
      <xdr:row>23</xdr:row>
      <xdr:rowOff>54938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9441" y="0"/>
          <a:ext cx="2791512" cy="4311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232954</xdr:colOff>
      <xdr:row>0</xdr:row>
      <xdr:rowOff>130627</xdr:rowOff>
    </xdr:from>
    <xdr:to>
      <xdr:col>17</xdr:col>
      <xdr:colOff>555194</xdr:colOff>
      <xdr:row>21</xdr:row>
      <xdr:rowOff>43542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0411" y="130627"/>
          <a:ext cx="6461782" cy="3799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523461</xdr:colOff>
      <xdr:row>41</xdr:row>
      <xdr:rowOff>106349</xdr:rowOff>
    </xdr:from>
    <xdr:to>
      <xdr:col>17</xdr:col>
      <xdr:colOff>496578</xdr:colOff>
      <xdr:row>47</xdr:row>
      <xdr:rowOff>115211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1009" y="8084158"/>
          <a:ext cx="3895760" cy="1122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42635</xdr:colOff>
      <xdr:row>40</xdr:row>
      <xdr:rowOff>0</xdr:rowOff>
    </xdr:from>
    <xdr:to>
      <xdr:col>11</xdr:col>
      <xdr:colOff>324576</xdr:colOff>
      <xdr:row>42</xdr:row>
      <xdr:rowOff>171559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9476" y="7711120"/>
          <a:ext cx="2504878" cy="541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61190</xdr:colOff>
      <xdr:row>43</xdr:row>
      <xdr:rowOff>5564</xdr:rowOff>
    </xdr:from>
    <xdr:to>
      <xdr:col>9</xdr:col>
      <xdr:colOff>682718</xdr:colOff>
      <xdr:row>45</xdr:row>
      <xdr:rowOff>43041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031" y="8282461"/>
          <a:ext cx="1362507" cy="4053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31531</xdr:colOff>
      <xdr:row>46</xdr:row>
      <xdr:rowOff>110359</xdr:rowOff>
    </xdr:from>
    <xdr:to>
      <xdr:col>10</xdr:col>
      <xdr:colOff>1</xdr:colOff>
      <xdr:row>47</xdr:row>
      <xdr:rowOff>111665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8372" y="8939049"/>
          <a:ext cx="1450428" cy="185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740979</xdr:colOff>
      <xdr:row>50</xdr:row>
      <xdr:rowOff>0</xdr:rowOff>
    </xdr:from>
    <xdr:to>
      <xdr:col>9</xdr:col>
      <xdr:colOff>310055</xdr:colOff>
      <xdr:row>51</xdr:row>
      <xdr:rowOff>162369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6841" y="9564414"/>
          <a:ext cx="1051035" cy="34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84082</xdr:colOff>
      <xdr:row>57</xdr:row>
      <xdr:rowOff>47296</xdr:rowOff>
    </xdr:from>
    <xdr:to>
      <xdr:col>9</xdr:col>
      <xdr:colOff>231227</xdr:colOff>
      <xdr:row>60</xdr:row>
      <xdr:rowOff>15230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965" y="10899227"/>
          <a:ext cx="2370083" cy="51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304799</xdr:colOff>
      <xdr:row>54</xdr:row>
      <xdr:rowOff>162909</xdr:rowOff>
    </xdr:from>
    <xdr:to>
      <xdr:col>10</xdr:col>
      <xdr:colOff>649538</xdr:colOff>
      <xdr:row>56</xdr:row>
      <xdr:rowOff>172799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9682" y="10463047"/>
          <a:ext cx="3308656" cy="391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="130" zoomScaleNormal="130" workbookViewId="0"/>
  </sheetViews>
  <sheetFormatPr defaultRowHeight="14.4" x14ac:dyDescent="0.3"/>
  <cols>
    <col min="1" max="1" width="51.33203125" customWidth="1"/>
    <col min="2" max="2" width="13.44140625" style="6" bestFit="1" customWidth="1"/>
    <col min="3" max="13" width="10.77734375" customWidth="1"/>
  </cols>
  <sheetData>
    <row r="1" spans="1:9" x14ac:dyDescent="0.3">
      <c r="A1" t="s">
        <v>0</v>
      </c>
    </row>
    <row r="2" spans="1:9" x14ac:dyDescent="0.3">
      <c r="B2" s="7" t="s">
        <v>143</v>
      </c>
      <c r="C2" s="7" t="s">
        <v>28</v>
      </c>
      <c r="D2" s="7" t="s">
        <v>28</v>
      </c>
      <c r="E2" s="7"/>
      <c r="F2" s="7" t="s">
        <v>26</v>
      </c>
      <c r="G2" s="7"/>
      <c r="H2" s="7" t="s">
        <v>31</v>
      </c>
      <c r="I2" s="7"/>
    </row>
    <row r="3" spans="1:9" x14ac:dyDescent="0.3">
      <c r="B3" s="7" t="s">
        <v>142</v>
      </c>
      <c r="C3" s="7" t="s">
        <v>29</v>
      </c>
      <c r="D3" s="7" t="s">
        <v>27</v>
      </c>
      <c r="E3" s="7"/>
      <c r="F3" s="7" t="s">
        <v>27</v>
      </c>
      <c r="G3" s="7"/>
      <c r="H3" s="7" t="s">
        <v>27</v>
      </c>
      <c r="I3" s="7"/>
    </row>
    <row r="4" spans="1:9" x14ac:dyDescent="0.3">
      <c r="A4" s="1" t="s">
        <v>2</v>
      </c>
      <c r="B4" s="7"/>
    </row>
    <row r="5" spans="1:9" x14ac:dyDescent="0.3">
      <c r="A5" t="s">
        <v>3</v>
      </c>
      <c r="B5" s="6" t="s">
        <v>85</v>
      </c>
      <c r="C5" s="4">
        <v>120</v>
      </c>
      <c r="D5" t="s">
        <v>12</v>
      </c>
      <c r="E5">
        <f>(C5+273.15)*1.8</f>
        <v>707.67</v>
      </c>
      <c r="F5" t="s">
        <v>21</v>
      </c>
      <c r="G5">
        <f>C5*1.8+32</f>
        <v>248</v>
      </c>
      <c r="H5" t="s">
        <v>30</v>
      </c>
    </row>
    <row r="6" spans="1:9" x14ac:dyDescent="0.3">
      <c r="A6" t="s">
        <v>4</v>
      </c>
      <c r="B6" s="6" t="s">
        <v>86</v>
      </c>
      <c r="C6" s="4">
        <v>300</v>
      </c>
      <c r="D6" t="s">
        <v>14</v>
      </c>
      <c r="E6" s="10">
        <f>C6*14.50377</f>
        <v>4351.1309999999994</v>
      </c>
      <c r="F6" t="s">
        <v>22</v>
      </c>
      <c r="G6" s="10">
        <f>E6</f>
        <v>4351.1309999999994</v>
      </c>
      <c r="H6" t="s">
        <v>22</v>
      </c>
    </row>
    <row r="7" spans="1:9" x14ac:dyDescent="0.3">
      <c r="A7" t="s">
        <v>6</v>
      </c>
      <c r="B7" s="6" t="s">
        <v>87</v>
      </c>
      <c r="C7" s="4">
        <v>0.7</v>
      </c>
      <c r="D7" t="s">
        <v>13</v>
      </c>
      <c r="E7">
        <f>C7</f>
        <v>0.7</v>
      </c>
      <c r="F7" t="s">
        <v>13</v>
      </c>
      <c r="G7" s="10">
        <f t="shared" ref="G7:G9" si="0">E7</f>
        <v>0.7</v>
      </c>
      <c r="H7" t="s">
        <v>13</v>
      </c>
    </row>
    <row r="8" spans="1:9" x14ac:dyDescent="0.3">
      <c r="A8" t="s">
        <v>7</v>
      </c>
      <c r="B8" s="6" t="s">
        <v>88</v>
      </c>
      <c r="C8" s="4">
        <v>500</v>
      </c>
      <c r="D8" t="s">
        <v>15</v>
      </c>
      <c r="E8">
        <f>C8</f>
        <v>500</v>
      </c>
      <c r="F8" t="s">
        <v>15</v>
      </c>
      <c r="G8" s="10">
        <f t="shared" si="0"/>
        <v>500</v>
      </c>
      <c r="H8" t="s">
        <v>15</v>
      </c>
    </row>
    <row r="9" spans="1:9" x14ac:dyDescent="0.3">
      <c r="A9" t="s">
        <v>8</v>
      </c>
      <c r="B9" s="6" t="s">
        <v>89</v>
      </c>
      <c r="C9" s="4">
        <v>100</v>
      </c>
      <c r="D9" t="s">
        <v>18</v>
      </c>
      <c r="E9">
        <f>C9*3.28</f>
        <v>328</v>
      </c>
      <c r="F9" t="s">
        <v>23</v>
      </c>
      <c r="G9" s="10">
        <f t="shared" si="0"/>
        <v>328</v>
      </c>
      <c r="H9" t="s">
        <v>23</v>
      </c>
    </row>
    <row r="10" spans="1:9" x14ac:dyDescent="0.3">
      <c r="A10" t="s">
        <v>149</v>
      </c>
      <c r="B10" s="6" t="s">
        <v>90</v>
      </c>
      <c r="C10" s="5">
        <v>2.5000000000000002E-6</v>
      </c>
      <c r="D10" s="2" t="s">
        <v>16</v>
      </c>
      <c r="E10" s="3">
        <f>1000*G10</f>
        <v>7.0801472670631546E-5</v>
      </c>
      <c r="F10" s="2" t="s">
        <v>24</v>
      </c>
      <c r="G10" s="3">
        <f>C10/35.31</f>
        <v>7.0801472670631551E-8</v>
      </c>
      <c r="H10" s="2" t="s">
        <v>32</v>
      </c>
    </row>
    <row r="11" spans="1:9" x14ac:dyDescent="0.3">
      <c r="A11" t="s">
        <v>150</v>
      </c>
      <c r="B11" s="6" t="s">
        <v>91</v>
      </c>
      <c r="C11" s="4">
        <v>3</v>
      </c>
      <c r="E11">
        <f>C11</f>
        <v>3</v>
      </c>
      <c r="G11" s="10">
        <f>E11</f>
        <v>3</v>
      </c>
    </row>
    <row r="12" spans="1:9" x14ac:dyDescent="0.3">
      <c r="A12" t="s">
        <v>9</v>
      </c>
      <c r="B12" s="6" t="s">
        <v>92</v>
      </c>
      <c r="C12" s="5">
        <v>100000000000</v>
      </c>
      <c r="D12" t="s">
        <v>17</v>
      </c>
      <c r="E12" s="3">
        <f>G12/1000</f>
        <v>3531000000</v>
      </c>
      <c r="F12" t="s">
        <v>33</v>
      </c>
      <c r="G12" s="3">
        <f>C12*35.31</f>
        <v>3531000000000</v>
      </c>
      <c r="H12" t="s">
        <v>25</v>
      </c>
    </row>
    <row r="13" spans="1:9" x14ac:dyDescent="0.3">
      <c r="A13" t="s">
        <v>10</v>
      </c>
      <c r="B13" s="6" t="s">
        <v>93</v>
      </c>
      <c r="C13" s="16">
        <v>0.3</v>
      </c>
      <c r="D13" s="8"/>
      <c r="E13" s="8">
        <f>C13</f>
        <v>0.3</v>
      </c>
      <c r="G13" s="8">
        <f t="shared" ref="G13:G14" si="1">E13</f>
        <v>0.3</v>
      </c>
    </row>
    <row r="14" spans="1:9" x14ac:dyDescent="0.3">
      <c r="A14" t="s">
        <v>11</v>
      </c>
      <c r="B14" s="21" t="s">
        <v>94</v>
      </c>
      <c r="C14" s="16">
        <v>0.21</v>
      </c>
      <c r="D14" s="8"/>
      <c r="E14" s="8">
        <f>C14</f>
        <v>0.21</v>
      </c>
      <c r="G14" s="8">
        <f t="shared" si="1"/>
        <v>0.21</v>
      </c>
    </row>
    <row r="16" spans="1:9" x14ac:dyDescent="0.3">
      <c r="A16" s="1" t="s">
        <v>1</v>
      </c>
      <c r="B16" s="7"/>
    </row>
    <row r="17" spans="1:8" x14ac:dyDescent="0.3">
      <c r="A17" t="s">
        <v>5</v>
      </c>
      <c r="B17" s="6" t="s">
        <v>95</v>
      </c>
      <c r="C17" s="4">
        <v>3000</v>
      </c>
      <c r="D17" t="s">
        <v>18</v>
      </c>
      <c r="E17">
        <f>C17*3.28</f>
        <v>9840</v>
      </c>
      <c r="F17" t="s">
        <v>23</v>
      </c>
      <c r="G17" s="10">
        <f t="shared" ref="G17" si="2">E17</f>
        <v>9840</v>
      </c>
      <c r="H17" t="s">
        <v>23</v>
      </c>
    </row>
    <row r="18" spans="1:8" x14ac:dyDescent="0.3">
      <c r="A18" t="s">
        <v>19</v>
      </c>
      <c r="B18" s="6" t="s">
        <v>132</v>
      </c>
      <c r="C18" s="4">
        <v>80</v>
      </c>
      <c r="D18" t="s">
        <v>12</v>
      </c>
      <c r="E18">
        <f>(C18+273.15)*1.8</f>
        <v>635.66999999999996</v>
      </c>
      <c r="F18" t="s">
        <v>21</v>
      </c>
      <c r="G18">
        <f>C18*1.8+32</f>
        <v>176</v>
      </c>
      <c r="H18" t="s">
        <v>30</v>
      </c>
    </row>
    <row r="19" spans="1:8" x14ac:dyDescent="0.3">
      <c r="A19" t="s">
        <v>20</v>
      </c>
      <c r="B19" s="6" t="s">
        <v>96</v>
      </c>
      <c r="C19" s="4">
        <v>0.1</v>
      </c>
      <c r="D19" t="s">
        <v>18</v>
      </c>
      <c r="E19">
        <f>C19*3.28</f>
        <v>0.32800000000000001</v>
      </c>
      <c r="F19" t="s">
        <v>23</v>
      </c>
      <c r="G19">
        <f>E19*12</f>
        <v>3.9359999999999999</v>
      </c>
      <c r="H19" t="s">
        <v>34</v>
      </c>
    </row>
    <row r="20" spans="1:8" x14ac:dyDescent="0.3">
      <c r="A20" t="s">
        <v>151</v>
      </c>
      <c r="B20" s="6" t="s">
        <v>131</v>
      </c>
      <c r="C20" s="4">
        <v>30</v>
      </c>
      <c r="D20" t="s">
        <v>14</v>
      </c>
      <c r="E20" s="10">
        <f>C20*14.50377</f>
        <v>435.11309999999997</v>
      </c>
      <c r="F20" t="s">
        <v>22</v>
      </c>
      <c r="G20" s="10">
        <f t="shared" ref="G20" si="3">E20</f>
        <v>435.11309999999997</v>
      </c>
      <c r="H20" t="s">
        <v>22</v>
      </c>
    </row>
    <row r="21" spans="1:8" x14ac:dyDescent="0.3">
      <c r="A21" t="s">
        <v>140</v>
      </c>
      <c r="B21" s="6" t="s">
        <v>97</v>
      </c>
      <c r="C21" s="12">
        <v>7</v>
      </c>
      <c r="E21" s="10">
        <f>C21</f>
        <v>7</v>
      </c>
      <c r="G21" s="10">
        <f>E21</f>
        <v>7</v>
      </c>
    </row>
    <row r="23" spans="1:8" x14ac:dyDescent="0.3">
      <c r="A23" s="1" t="s">
        <v>49</v>
      </c>
      <c r="B23" s="7"/>
    </row>
    <row r="24" spans="1:8" x14ac:dyDescent="0.3">
      <c r="A24" s="15" t="s">
        <v>50</v>
      </c>
      <c r="B24" s="18" t="s">
        <v>98</v>
      </c>
      <c r="C24" s="27">
        <v>4.5100000000000001E-3</v>
      </c>
      <c r="D24" t="s">
        <v>52</v>
      </c>
      <c r="E24" s="15">
        <f>C24</f>
        <v>4.5100000000000001E-3</v>
      </c>
      <c r="F24" t="s">
        <v>51</v>
      </c>
    </row>
    <row r="25" spans="1:8" x14ac:dyDescent="0.3">
      <c r="A25" s="15" t="s">
        <v>53</v>
      </c>
      <c r="B25" s="18" t="s">
        <v>100</v>
      </c>
      <c r="C25" s="3">
        <f>E25/35.31</f>
        <v>451000000</v>
      </c>
      <c r="D25" t="s">
        <v>144</v>
      </c>
      <c r="E25" s="3">
        <f>E24*G12</f>
        <v>15924810000</v>
      </c>
      <c r="F25" t="s">
        <v>54</v>
      </c>
    </row>
    <row r="26" spans="1:8" x14ac:dyDescent="0.3">
      <c r="A26" s="15" t="s">
        <v>55</v>
      </c>
      <c r="B26" s="18" t="s">
        <v>99</v>
      </c>
      <c r="C26">
        <f>E26/3.28^2</f>
        <v>30699789.210746765</v>
      </c>
      <c r="D26" t="s">
        <v>145</v>
      </c>
      <c r="E26">
        <f>E25/G9/G14/(1-G13)</f>
        <v>330280612.24489796</v>
      </c>
      <c r="F26" t="s">
        <v>56</v>
      </c>
    </row>
    <row r="27" spans="1:8" x14ac:dyDescent="0.3">
      <c r="A27" s="15" t="s">
        <v>57</v>
      </c>
      <c r="B27" s="18" t="s">
        <v>101</v>
      </c>
      <c r="C27">
        <f>E27/3.28</f>
        <v>3126.0272566852595</v>
      </c>
      <c r="D27" t="s">
        <v>18</v>
      </c>
      <c r="E27" s="10">
        <f>(E26/PI())^0.5</f>
        <v>10253.36940192765</v>
      </c>
      <c r="F27" t="s">
        <v>23</v>
      </c>
    </row>
    <row r="28" spans="1:8" x14ac:dyDescent="0.3">
      <c r="A28" s="15" t="s">
        <v>58</v>
      </c>
      <c r="B28" s="18" t="s">
        <v>58</v>
      </c>
      <c r="C28" s="9"/>
      <c r="E28" s="9">
        <f>LN(E27/E19)</f>
        <v>10.350103323286545</v>
      </c>
    </row>
    <row r="29" spans="1:8" x14ac:dyDescent="0.3">
      <c r="A29" s="1"/>
      <c r="B29" s="7"/>
    </row>
    <row r="30" spans="1:8" x14ac:dyDescent="0.3">
      <c r="A30" s="17" t="s">
        <v>152</v>
      </c>
      <c r="B30" s="7"/>
    </row>
    <row r="31" spans="1:8" x14ac:dyDescent="0.3">
      <c r="A31" t="s">
        <v>41</v>
      </c>
      <c r="E31" s="28">
        <v>0.95730000000000004</v>
      </c>
    </row>
    <row r="32" spans="1:8" x14ac:dyDescent="0.3">
      <c r="A32" s="13" t="s">
        <v>38</v>
      </c>
      <c r="B32" s="19"/>
    </row>
    <row r="33" spans="1:7" x14ac:dyDescent="0.3">
      <c r="A33" t="s">
        <v>39</v>
      </c>
      <c r="E33" s="27">
        <v>0.999</v>
      </c>
    </row>
    <row r="34" spans="1:7" x14ac:dyDescent="0.3">
      <c r="A34" t="s">
        <v>40</v>
      </c>
      <c r="E34" s="29">
        <v>1.4E-2</v>
      </c>
      <c r="F34" t="s">
        <v>37</v>
      </c>
    </row>
    <row r="35" spans="1:7" x14ac:dyDescent="0.3">
      <c r="A35" t="s">
        <v>44</v>
      </c>
      <c r="E35" s="14">
        <f>E33*E34</f>
        <v>1.3986E-2</v>
      </c>
      <c r="F35" t="s">
        <v>37</v>
      </c>
      <c r="G35">
        <v>3</v>
      </c>
    </row>
    <row r="36" spans="1:7" x14ac:dyDescent="0.3">
      <c r="A36" t="s">
        <v>139</v>
      </c>
      <c r="C36" s="4">
        <v>150</v>
      </c>
      <c r="D36" t="s">
        <v>14</v>
      </c>
      <c r="E36" s="10">
        <f>C36*14.50377</f>
        <v>2175.5654999999997</v>
      </c>
      <c r="F36" t="s">
        <v>22</v>
      </c>
      <c r="G36" s="10"/>
    </row>
    <row r="37" spans="1:7" x14ac:dyDescent="0.3">
      <c r="A37" t="s">
        <v>42</v>
      </c>
      <c r="E37" s="28">
        <v>0.91290000000000004</v>
      </c>
    </row>
    <row r="38" spans="1:7" x14ac:dyDescent="0.3">
      <c r="A38" t="s">
        <v>43</v>
      </c>
      <c r="E38" s="29">
        <v>1.7899999999999999E-2</v>
      </c>
      <c r="F38" t="s">
        <v>37</v>
      </c>
    </row>
    <row r="39" spans="1:7" x14ac:dyDescent="0.3">
      <c r="A39" t="s">
        <v>45</v>
      </c>
      <c r="E39" s="14">
        <f>E37*E38</f>
        <v>1.634091E-2</v>
      </c>
      <c r="F39" t="s">
        <v>37</v>
      </c>
    </row>
    <row r="40" spans="1:7" x14ac:dyDescent="0.3">
      <c r="A40" t="s">
        <v>46</v>
      </c>
      <c r="E40" s="27">
        <v>1.4500000000000001E-2</v>
      </c>
      <c r="F40" t="s">
        <v>37</v>
      </c>
    </row>
    <row r="42" spans="1:7" x14ac:dyDescent="0.3">
      <c r="A42" s="17" t="s">
        <v>35</v>
      </c>
      <c r="B42" s="20"/>
    </row>
    <row r="43" spans="1:7" x14ac:dyDescent="0.3">
      <c r="A43" t="s">
        <v>104</v>
      </c>
      <c r="B43" t="s">
        <v>48</v>
      </c>
      <c r="E43" s="14">
        <f>1424*E40*E5/(E8*E9)</f>
        <v>8.9097379024390244E-2</v>
      </c>
    </row>
    <row r="44" spans="1:7" x14ac:dyDescent="0.3">
      <c r="A44" t="s">
        <v>102</v>
      </c>
      <c r="B44" s="6" t="s">
        <v>36</v>
      </c>
      <c r="E44" s="14">
        <f>E43*(E28-0.75+E11)</f>
        <v>1.1226361815413404</v>
      </c>
    </row>
    <row r="45" spans="1:7" x14ac:dyDescent="0.3">
      <c r="A45" t="s">
        <v>103</v>
      </c>
      <c r="B45" s="6" t="s">
        <v>47</v>
      </c>
      <c r="E45" s="3">
        <f>E43*E10</f>
        <v>6.3082256460202662E-6</v>
      </c>
    </row>
    <row r="47" spans="1:7" x14ac:dyDescent="0.3">
      <c r="A47" s="17" t="s">
        <v>106</v>
      </c>
      <c r="B47" s="20"/>
    </row>
    <row r="48" spans="1:7" x14ac:dyDescent="0.3">
      <c r="A48" t="s">
        <v>105</v>
      </c>
      <c r="B48" s="6" t="s">
        <v>59</v>
      </c>
      <c r="E48" s="11">
        <f>0.0375*E7*E17/E18/E31</f>
        <v>0.42446768387758893</v>
      </c>
    </row>
    <row r="49" spans="1:6" x14ac:dyDescent="0.3">
      <c r="A49" t="s">
        <v>108</v>
      </c>
      <c r="B49" s="6" t="s">
        <v>60</v>
      </c>
      <c r="E49" s="11">
        <f>EXP(E48)</f>
        <v>1.5287764106965762</v>
      </c>
    </row>
    <row r="50" spans="1:6" x14ac:dyDescent="0.3">
      <c r="A50" t="s">
        <v>107</v>
      </c>
      <c r="B50" s="6" t="s">
        <v>61</v>
      </c>
      <c r="E50" s="11">
        <f>EXP(E48/2)</f>
        <v>1.2364369820967731</v>
      </c>
    </row>
    <row r="52" spans="1:6" x14ac:dyDescent="0.3">
      <c r="A52" s="17" t="s">
        <v>146</v>
      </c>
      <c r="B52" s="20"/>
    </row>
    <row r="53" spans="1:6" x14ac:dyDescent="0.3">
      <c r="A53" t="s">
        <v>102</v>
      </c>
      <c r="B53" s="6" t="s">
        <v>64</v>
      </c>
      <c r="E53" s="11">
        <f>E44/E49</f>
        <v>0.73433641027324537</v>
      </c>
    </row>
    <row r="54" spans="1:6" x14ac:dyDescent="0.3">
      <c r="A54" t="s">
        <v>103</v>
      </c>
      <c r="B54" s="6" t="s">
        <v>65</v>
      </c>
      <c r="E54" s="3">
        <f>E45/E49</f>
        <v>4.1263232490263026E-6</v>
      </c>
    </row>
    <row r="56" spans="1:6" ht="15" thickBot="1" x14ac:dyDescent="0.35">
      <c r="A56" s="17" t="s">
        <v>147</v>
      </c>
      <c r="B56" s="20"/>
    </row>
    <row r="57" spans="1:6" ht="15" thickBot="1" x14ac:dyDescent="0.35">
      <c r="A57" s="15" t="s">
        <v>141</v>
      </c>
      <c r="B57" s="18" t="s">
        <v>109</v>
      </c>
      <c r="E57" s="24">
        <v>6</v>
      </c>
      <c r="F57" t="s">
        <v>34</v>
      </c>
    </row>
    <row r="58" spans="1:6" x14ac:dyDescent="0.3">
      <c r="A58" s="15" t="s">
        <v>113</v>
      </c>
      <c r="B58" s="18" t="s">
        <v>110</v>
      </c>
      <c r="E58">
        <f>0.10797/E57^2.612</f>
        <v>1.0017792581400681E-3</v>
      </c>
    </row>
    <row r="59" spans="1:6" x14ac:dyDescent="0.3">
      <c r="A59" t="s">
        <v>112</v>
      </c>
      <c r="B59" s="6" t="s">
        <v>62</v>
      </c>
      <c r="E59" s="11">
        <f>31.62*E50/(SQRT(E49-1)*E58*E18*E31)</f>
        <v>88.195414522482835</v>
      </c>
    </row>
    <row r="60" spans="1:6" x14ac:dyDescent="0.3">
      <c r="A60" t="s">
        <v>63</v>
      </c>
      <c r="B60" s="6" t="s">
        <v>111</v>
      </c>
      <c r="E60" s="3">
        <f>1/E59^2</f>
        <v>1.2856062895492634E-4</v>
      </c>
    </row>
    <row r="62" spans="1:6" x14ac:dyDescent="0.3">
      <c r="A62" s="17" t="s">
        <v>148</v>
      </c>
      <c r="B62" s="20"/>
    </row>
    <row r="63" spans="1:6" x14ac:dyDescent="0.3">
      <c r="A63" t="s">
        <v>102</v>
      </c>
      <c r="B63" s="6" t="s">
        <v>74</v>
      </c>
      <c r="E63" s="11">
        <f>E53</f>
        <v>0.73433641027324537</v>
      </c>
    </row>
    <row r="64" spans="1:6" x14ac:dyDescent="0.3">
      <c r="A64" t="s">
        <v>114</v>
      </c>
      <c r="B64" s="6" t="s">
        <v>75</v>
      </c>
      <c r="E64" s="3">
        <f>E54+E60</f>
        <v>1.3268695220395265E-4</v>
      </c>
    </row>
    <row r="66" spans="1:8" x14ac:dyDescent="0.3">
      <c r="A66" s="17" t="s">
        <v>66</v>
      </c>
      <c r="B66" s="20"/>
    </row>
    <row r="67" spans="1:8" x14ac:dyDescent="0.3">
      <c r="A67" s="15" t="s">
        <v>81</v>
      </c>
      <c r="B67" s="18" t="s">
        <v>80</v>
      </c>
      <c r="E67" s="10">
        <f>E36/E50</f>
        <v>1759.5441834088745</v>
      </c>
      <c r="F67" t="s">
        <v>22</v>
      </c>
    </row>
    <row r="68" spans="1:8" x14ac:dyDescent="0.3">
      <c r="A68" t="s">
        <v>67</v>
      </c>
      <c r="B68" s="6" t="s">
        <v>115</v>
      </c>
      <c r="C68" s="5">
        <v>1000000</v>
      </c>
      <c r="D68" t="s">
        <v>68</v>
      </c>
      <c r="E68" s="3">
        <f>C68*35.31/1000</f>
        <v>35310</v>
      </c>
      <c r="F68" t="s">
        <v>69</v>
      </c>
      <c r="G68" s="22"/>
      <c r="H68" s="23"/>
    </row>
    <row r="69" spans="1:8" x14ac:dyDescent="0.3">
      <c r="A69" t="s">
        <v>73</v>
      </c>
      <c r="B69" s="6" t="s">
        <v>116</v>
      </c>
      <c r="E69" s="3">
        <f>E63*E68+E64*E68^2</f>
        <v>191362.99317552286</v>
      </c>
      <c r="F69" t="s">
        <v>78</v>
      </c>
    </row>
    <row r="70" spans="1:8" x14ac:dyDescent="0.3">
      <c r="A70" t="s">
        <v>76</v>
      </c>
      <c r="B70" s="6" t="s">
        <v>117</v>
      </c>
      <c r="E70" s="3">
        <f>E69-E71</f>
        <v>31074.102380973636</v>
      </c>
      <c r="F70" t="s">
        <v>78</v>
      </c>
    </row>
    <row r="71" spans="1:8" x14ac:dyDescent="0.3">
      <c r="A71" t="s">
        <v>77</v>
      </c>
      <c r="B71" s="6" t="s">
        <v>118</v>
      </c>
      <c r="E71" s="3">
        <f>E60*E68^2</f>
        <v>160288.89079454922</v>
      </c>
      <c r="F71" t="s">
        <v>78</v>
      </c>
    </row>
    <row r="72" spans="1:8" x14ac:dyDescent="0.3">
      <c r="A72" s="13" t="s">
        <v>84</v>
      </c>
      <c r="B72" s="19"/>
      <c r="E72" s="3"/>
    </row>
    <row r="73" spans="1:8" x14ac:dyDescent="0.3">
      <c r="A73" t="s">
        <v>71</v>
      </c>
      <c r="B73" s="6" t="s">
        <v>119</v>
      </c>
      <c r="E73" s="10">
        <f>E67-SQRT(E67^2-E69)</f>
        <v>55.245870262821882</v>
      </c>
      <c r="F73" t="s">
        <v>79</v>
      </c>
    </row>
    <row r="74" spans="1:8" x14ac:dyDescent="0.3">
      <c r="A74" t="s">
        <v>70</v>
      </c>
      <c r="B74" s="6" t="s">
        <v>120</v>
      </c>
      <c r="E74" s="10">
        <f>E67-SQRT(E67^2-E70)</f>
        <v>8.8524255636993985</v>
      </c>
      <c r="F74" t="s">
        <v>79</v>
      </c>
    </row>
    <row r="75" spans="1:8" ht="15" thickBot="1" x14ac:dyDescent="0.35">
      <c r="A75" t="s">
        <v>72</v>
      </c>
      <c r="B75" s="6" t="s">
        <v>121</v>
      </c>
      <c r="E75" s="10">
        <f>E73-E74</f>
        <v>46.393444699122483</v>
      </c>
      <c r="F75" t="s">
        <v>79</v>
      </c>
    </row>
    <row r="76" spans="1:8" ht="15" thickBot="1" x14ac:dyDescent="0.35">
      <c r="A76" t="s">
        <v>83</v>
      </c>
      <c r="B76" s="6" t="s">
        <v>122</v>
      </c>
      <c r="E76" s="25">
        <f>E75/E73*100</f>
        <v>83.97631257940975</v>
      </c>
      <c r="F76" t="s">
        <v>82</v>
      </c>
    </row>
    <row r="77" spans="1:8" ht="15" thickBot="1" x14ac:dyDescent="0.35">
      <c r="A77" t="s">
        <v>123</v>
      </c>
      <c r="B77" s="6" t="s">
        <v>124</v>
      </c>
      <c r="E77" s="26">
        <v>8.1999999999999993</v>
      </c>
      <c r="F77" t="s">
        <v>34</v>
      </c>
    </row>
    <row r="78" spans="1:8" ht="15" thickBot="1" x14ac:dyDescent="0.35">
      <c r="A78" t="s">
        <v>125</v>
      </c>
      <c r="B78" s="6" t="s">
        <v>126</v>
      </c>
      <c r="E78" s="26">
        <v>6</v>
      </c>
      <c r="F78" t="s">
        <v>34</v>
      </c>
    </row>
    <row r="80" spans="1:8" x14ac:dyDescent="0.3">
      <c r="A80" s="17" t="s">
        <v>127</v>
      </c>
    </row>
    <row r="81" spans="1:8" x14ac:dyDescent="0.3">
      <c r="A81" t="s">
        <v>136</v>
      </c>
      <c r="B81" s="6" t="s">
        <v>116</v>
      </c>
      <c r="E81" s="3">
        <f>E67^2-E20^2</f>
        <v>2906672.3235763926</v>
      </c>
      <c r="F81" t="s">
        <v>78</v>
      </c>
    </row>
    <row r="82" spans="1:8" x14ac:dyDescent="0.3">
      <c r="A82" t="s">
        <v>135</v>
      </c>
      <c r="B82" s="6" t="s">
        <v>129</v>
      </c>
      <c r="E82" s="10">
        <f>(-E63+SQRT(E63^2+4*E64*E81))/(2*E64)</f>
        <v>145266.25915326391</v>
      </c>
      <c r="F82" t="s">
        <v>69</v>
      </c>
      <c r="G82" s="10">
        <f>E82/1000</f>
        <v>145.26625915326392</v>
      </c>
      <c r="H82" t="s">
        <v>133</v>
      </c>
    </row>
    <row r="83" spans="1:8" ht="15" thickBot="1" x14ac:dyDescent="0.35">
      <c r="A83" t="s">
        <v>137</v>
      </c>
      <c r="B83" s="6" t="s">
        <v>128</v>
      </c>
      <c r="E83" s="10">
        <f>0.05*E12/(365)</f>
        <v>483698.63013698632</v>
      </c>
      <c r="F83" t="s">
        <v>69</v>
      </c>
      <c r="G83" s="8">
        <f>E83/1000000</f>
        <v>0.48369863013698633</v>
      </c>
      <c r="H83" t="s">
        <v>134</v>
      </c>
    </row>
    <row r="84" spans="1:8" ht="15" thickBot="1" x14ac:dyDescent="0.35">
      <c r="A84" t="s">
        <v>138</v>
      </c>
      <c r="B84" s="6" t="s">
        <v>130</v>
      </c>
      <c r="E84" s="25">
        <f>INT(E83/E82)+1</f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Hays Whitson</dc:creator>
  <cp:lastModifiedBy>Curtis Hays Whitson</cp:lastModifiedBy>
  <dcterms:created xsi:type="dcterms:W3CDTF">2017-04-30T09:58:50Z</dcterms:created>
  <dcterms:modified xsi:type="dcterms:W3CDTF">2017-05-02T16:42:32Z</dcterms:modified>
</cp:coreProperties>
</file>