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11640" tabRatio="694" firstSheet="1" activeTab="6"/>
  </bookViews>
  <sheets>
    <sheet name="Sheet1" sheetId="1" r:id="rId1"/>
    <sheet name="Formasjon" sheetId="2" r:id="rId2"/>
    <sheet name="P-tub vs DP Punch" sheetId="3" r:id="rId3"/>
    <sheet name="P0 vs DP-punch" sheetId="4" r:id="rId4"/>
    <sheet name="DP-punch vs q-tot" sheetId="5" r:id="rId5"/>
    <sheet name="Chart4" sheetId="6" r:id="rId6"/>
    <sheet name="Skogs teorem" sheetId="7" r:id="rId7"/>
    <sheet name="DP-punch vs q" sheetId="8" r:id="rId8"/>
    <sheet name="Hull" sheetId="9" r:id="rId9"/>
    <sheet name="Iterasjon" sheetId="10" r:id="rId10"/>
  </sheets>
  <definedNames>
    <definedName name="solver_adj" localSheetId="9" hidden="1">'Iterasjon'!$F$5:$F$6</definedName>
    <definedName name="solver_adj" localSheetId="6" hidden="1">'Skogs teorem'!$E$13:$E$14</definedName>
    <definedName name="solver_cvg" localSheetId="9" hidden="1">0.0001</definedName>
    <definedName name="solver_cvg" localSheetId="6" hidden="1">0.0001</definedName>
    <definedName name="solver_drv" localSheetId="9" hidden="1">1</definedName>
    <definedName name="solver_drv" localSheetId="6" hidden="1">1</definedName>
    <definedName name="solver_est" localSheetId="9" hidden="1">1</definedName>
    <definedName name="solver_est" localSheetId="6" hidden="1">1</definedName>
    <definedName name="solver_itr" localSheetId="9" hidden="1">100</definedName>
    <definedName name="solver_itr" localSheetId="6" hidden="1">100</definedName>
    <definedName name="solver_lin" localSheetId="9" hidden="1">2</definedName>
    <definedName name="solver_lin" localSheetId="6" hidden="1">2</definedName>
    <definedName name="solver_neg" localSheetId="9" hidden="1">2</definedName>
    <definedName name="solver_neg" localSheetId="6" hidden="1">2</definedName>
    <definedName name="solver_num" localSheetId="9" hidden="1">0</definedName>
    <definedName name="solver_num" localSheetId="6" hidden="1">0</definedName>
    <definedName name="solver_nwt" localSheetId="9" hidden="1">1</definedName>
    <definedName name="solver_nwt" localSheetId="6" hidden="1">1</definedName>
    <definedName name="solver_opt" localSheetId="9" hidden="1">'Iterasjon'!$G$193</definedName>
    <definedName name="solver_opt" localSheetId="6" hidden="1">'Skogs teorem'!$G$168</definedName>
    <definedName name="solver_pre" localSheetId="9" hidden="1">0.000001</definedName>
    <definedName name="solver_pre" localSheetId="6" hidden="1">0.000001</definedName>
    <definedName name="solver_scl" localSheetId="9" hidden="1">2</definedName>
    <definedName name="solver_scl" localSheetId="6" hidden="1">2</definedName>
    <definedName name="solver_sho" localSheetId="9" hidden="1">2</definedName>
    <definedName name="solver_sho" localSheetId="6" hidden="1">2</definedName>
    <definedName name="solver_tim" localSheetId="9" hidden="1">100</definedName>
    <definedName name="solver_tim" localSheetId="6" hidden="1">100</definedName>
    <definedName name="solver_tol" localSheetId="9" hidden="1">0.05</definedName>
    <definedName name="solver_tol" localSheetId="6" hidden="1">0.05</definedName>
    <definedName name="solver_typ" localSheetId="9" hidden="1">3</definedName>
    <definedName name="solver_typ" localSheetId="6" hidden="1">3</definedName>
    <definedName name="solver_val" localSheetId="9" hidden="1">4.13</definedName>
    <definedName name="solver_val" localSheetId="6" hidden="1">265.86</definedName>
  </definedNames>
  <calcPr fullCalcOnLoad="1"/>
</workbook>
</file>

<file path=xl/comments2.xml><?xml version="1.0" encoding="utf-8"?>
<comments xmlns="http://schemas.openxmlformats.org/spreadsheetml/2006/main">
  <authors>
    <author>?smund Gyldenskog</author>
  </authors>
  <commentList>
    <comment ref="B28" authorId="0">
      <text>
        <r>
          <rPr>
            <b/>
            <sz val="8"/>
            <rFont val="Tahoma"/>
            <family val="0"/>
          </rPr>
          <t>Åsmund Gyldenskog:</t>
        </r>
        <r>
          <rPr>
            <sz val="8"/>
            <rFont val="Tahoma"/>
            <family val="0"/>
          </rPr>
          <t xml:space="preserve">
NB: Ikke tatt hensyn til endring av tetthet oppover i brønnen som følge av trykkfall
</t>
        </r>
      </text>
    </comment>
    <comment ref="B31" authorId="0">
      <text>
        <r>
          <rPr>
            <b/>
            <sz val="8"/>
            <rFont val="Tahoma"/>
            <family val="0"/>
          </rPr>
          <t>Åsmund Gyldenskog:</t>
        </r>
        <r>
          <rPr>
            <sz val="8"/>
            <rFont val="Tahoma"/>
            <family val="0"/>
          </rPr>
          <t xml:space="preserve">
Antar dreneringsradius 150m
</t>
        </r>
      </text>
    </comment>
  </commentList>
</comments>
</file>

<file path=xl/sharedStrings.xml><?xml version="1.0" encoding="utf-8"?>
<sst xmlns="http://schemas.openxmlformats.org/spreadsheetml/2006/main" count="486" uniqueCount="153">
  <si>
    <t>Gulltopp beregninger</t>
  </si>
  <si>
    <t>Ness1</t>
  </si>
  <si>
    <t>Ness2</t>
  </si>
  <si>
    <t>Ness3</t>
  </si>
  <si>
    <t>h</t>
  </si>
  <si>
    <t>phi</t>
  </si>
  <si>
    <t>A-flow</t>
  </si>
  <si>
    <t>L-flow</t>
  </si>
  <si>
    <t>Pi</t>
  </si>
  <si>
    <t>my</t>
  </si>
  <si>
    <t>rho oil res</t>
  </si>
  <si>
    <t>BS</t>
  </si>
  <si>
    <t>Dipp</t>
  </si>
  <si>
    <t>HCPV</t>
  </si>
  <si>
    <t>m3</t>
  </si>
  <si>
    <t>kh</t>
  </si>
  <si>
    <t>kv</t>
  </si>
  <si>
    <t>m</t>
  </si>
  <si>
    <t>P-topside</t>
  </si>
  <si>
    <t>Depth</t>
  </si>
  <si>
    <t>bar</t>
  </si>
  <si>
    <t>kg/m3</t>
  </si>
  <si>
    <t>rw</t>
  </si>
  <si>
    <t>deg</t>
  </si>
  <si>
    <t>m2</t>
  </si>
  <si>
    <t>Pw</t>
  </si>
  <si>
    <t>q</t>
  </si>
  <si>
    <t>re</t>
  </si>
  <si>
    <t>D</t>
  </si>
  <si>
    <t>Pa</t>
  </si>
  <si>
    <t>m3/s</t>
  </si>
  <si>
    <t>Pas</t>
  </si>
  <si>
    <t>k-res</t>
  </si>
  <si>
    <t>Trykktap over hull</t>
  </si>
  <si>
    <t>Antall hull</t>
  </si>
  <si>
    <t>stk</t>
  </si>
  <si>
    <t xml:space="preserve">rho </t>
  </si>
  <si>
    <t>Ac</t>
  </si>
  <si>
    <t>A</t>
  </si>
  <si>
    <t>Tverrsnittsareal av dyse</t>
  </si>
  <si>
    <t>Tverrsnittsareal av ringrom i choke</t>
  </si>
  <si>
    <t>ΔPhull</t>
  </si>
  <si>
    <t>q tot</t>
  </si>
  <si>
    <t>q hull</t>
  </si>
  <si>
    <t>r-hull</t>
  </si>
  <si>
    <t>d-hull</t>
  </si>
  <si>
    <t>in</t>
  </si>
  <si>
    <t>dy</t>
  </si>
  <si>
    <t>H-punchA</t>
  </si>
  <si>
    <t>Bar</t>
  </si>
  <si>
    <t>PI</t>
  </si>
  <si>
    <t>Bo</t>
  </si>
  <si>
    <t>m3/sm3</t>
  </si>
  <si>
    <t>L-punch</t>
  </si>
  <si>
    <t>Beta</t>
  </si>
  <si>
    <t>-</t>
  </si>
  <si>
    <t>#seksjoner</t>
  </si>
  <si>
    <t>Check</t>
  </si>
  <si>
    <t>P0</t>
  </si>
  <si>
    <t>Por</t>
  </si>
  <si>
    <t>A-perf</t>
  </si>
  <si>
    <t>q-tot</t>
  </si>
  <si>
    <t>ID tbg</t>
  </si>
  <si>
    <t>Faste variable:</t>
  </si>
  <si>
    <t>Pres</t>
  </si>
  <si>
    <t>u-screen</t>
  </si>
  <si>
    <t>DP-screen</t>
  </si>
  <si>
    <t>DP-dyser</t>
  </si>
  <si>
    <t>u-dyser</t>
  </si>
  <si>
    <t>[m/s]</t>
  </si>
  <si>
    <t>[Pa]</t>
  </si>
  <si>
    <t>[m3/s]</t>
  </si>
  <si>
    <t>Dy</t>
  </si>
  <si>
    <t>Di</t>
  </si>
  <si>
    <t>Ah</t>
  </si>
  <si>
    <t>A-innstr</t>
  </si>
  <si>
    <t># hull</t>
  </si>
  <si>
    <t>Re</t>
  </si>
  <si>
    <t>Dp-tot</t>
  </si>
  <si>
    <t>Antall skjermer</t>
  </si>
  <si>
    <t>[Bar]</t>
  </si>
  <si>
    <t>Turb</t>
  </si>
  <si>
    <t>&gt;2300</t>
  </si>
  <si>
    <t>Lam</t>
  </si>
  <si>
    <t>&lt;2300</t>
  </si>
  <si>
    <t>f</t>
  </si>
  <si>
    <t>L-screen</t>
  </si>
  <si>
    <t>[bar]</t>
  </si>
  <si>
    <t>DP-punch</t>
  </si>
  <si>
    <t>DP-punch tot</t>
  </si>
  <si>
    <t>[m3/sbar]</t>
  </si>
  <si>
    <t>SONE 1</t>
  </si>
  <si>
    <t>SONE 2</t>
  </si>
  <si>
    <t>SONE 3</t>
  </si>
  <si>
    <t>Pw-min</t>
  </si>
  <si>
    <t>Well-check</t>
  </si>
  <si>
    <t>OK / NOT OK</t>
  </si>
  <si>
    <t>DP- check [bar]</t>
  </si>
  <si>
    <t>stk/seksjon</t>
  </si>
  <si>
    <t>DOMINANT</t>
  </si>
  <si>
    <t>Reelt # hull</t>
  </si>
  <si>
    <t>Reelt # skjermer</t>
  </si>
  <si>
    <t>Dp-tubing</t>
  </si>
  <si>
    <t>u-dyse</t>
  </si>
  <si>
    <t xml:space="preserve">TOTAL TRYKKBALANSE </t>
  </si>
  <si>
    <t>Check Pw</t>
  </si>
  <si>
    <t>Pw-aktuell</t>
  </si>
  <si>
    <t>B2</t>
  </si>
  <si>
    <t>C</t>
  </si>
  <si>
    <t>Phi2</t>
  </si>
  <si>
    <t>A-choke</t>
  </si>
  <si>
    <t>A-hull</t>
  </si>
  <si>
    <t>A-hull tot</t>
  </si>
  <si>
    <t>Dh</t>
  </si>
  <si>
    <t>Lengde Punch</t>
  </si>
  <si>
    <t>B</t>
  </si>
  <si>
    <t>Phi 1</t>
  </si>
  <si>
    <t>Phi 2</t>
  </si>
  <si>
    <t>A-screen inflow</t>
  </si>
  <si>
    <t>P-tubing</t>
  </si>
  <si>
    <t>a</t>
  </si>
  <si>
    <t>b</t>
  </si>
  <si>
    <t>c</t>
  </si>
  <si>
    <t>P-hullvegg</t>
  </si>
  <si>
    <t>Dp-punch</t>
  </si>
  <si>
    <t>Dp-formasjon</t>
  </si>
  <si>
    <t>OK/NOT OK</t>
  </si>
  <si>
    <t>DP-Punch [bar]</t>
  </si>
  <si>
    <t>D-tubing</t>
  </si>
  <si>
    <t>L</t>
  </si>
  <si>
    <t>"</t>
  </si>
  <si>
    <t>DP-tot</t>
  </si>
  <si>
    <t>q-max</t>
  </si>
  <si>
    <t>DP-tubing max</t>
  </si>
  <si>
    <t>[m3/d]</t>
  </si>
  <si>
    <t>TVD</t>
  </si>
  <si>
    <t>Ness 1</t>
  </si>
  <si>
    <t>Ness 3</t>
  </si>
  <si>
    <t>Ness 2</t>
  </si>
  <si>
    <t>Porøsitet</t>
  </si>
  <si>
    <t>So</t>
  </si>
  <si>
    <t>Perm.Vert [D]</t>
  </si>
  <si>
    <t>Perm.Hor [D]</t>
  </si>
  <si>
    <t>NESS 1</t>
  </si>
  <si>
    <t>NESS 2</t>
  </si>
  <si>
    <t>NESS 3</t>
  </si>
  <si>
    <t>Kildekode, ikke optimalisert</t>
  </si>
  <si>
    <t>Oppsummering</t>
  </si>
  <si>
    <t>Antall moduler</t>
  </si>
  <si>
    <t>q-potensiell</t>
  </si>
  <si>
    <t>q-valgt</t>
  </si>
  <si>
    <t>[Sm3/d]</t>
  </si>
  <si>
    <t>[Sm3/d/bar]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</si>
</sst>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E+00"/>
    <numFmt numFmtId="172" formatCode="0.000E+00"/>
    <numFmt numFmtId="173" formatCode="0.0E+00"/>
    <numFmt numFmtId="174" formatCode="0E+00"/>
  </numFmts>
  <fonts count="1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0" borderId="7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7" xfId="0" applyFill="1" applyBorder="1" applyAlignment="1">
      <alignment/>
    </xf>
    <xf numFmtId="0" fontId="7" fillId="0" borderId="5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8" xfId="0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 indent="7"/>
    </xf>
    <xf numFmtId="0" fontId="0" fillId="0" borderId="9" xfId="0" applyBorder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indent="5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6" fillId="0" borderId="8" xfId="0" applyFont="1" applyFill="1" applyBorder="1" applyAlignment="1">
      <alignment horizontal="left" indent="4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2" fontId="0" fillId="0" borderId="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P-tubing vs DP-punch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Ness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'Skogs teorem'!$B$30:$B$63</c:f>
              <c:numCache>
                <c:ptCount val="34"/>
                <c:pt idx="0">
                  <c:v>0</c:v>
                </c:pt>
                <c:pt idx="1">
                  <c:v>200</c:v>
                </c:pt>
                <c:pt idx="2">
                  <c:v>210</c:v>
                </c:pt>
                <c:pt idx="3">
                  <c:v>220</c:v>
                </c:pt>
                <c:pt idx="4">
                  <c:v>230</c:v>
                </c:pt>
                <c:pt idx="5">
                  <c:v>240</c:v>
                </c:pt>
                <c:pt idx="6">
                  <c:v>250</c:v>
                </c:pt>
                <c:pt idx="7">
                  <c:v>260</c:v>
                </c:pt>
                <c:pt idx="8">
                  <c:v>270</c:v>
                </c:pt>
                <c:pt idx="9">
                  <c:v>280</c:v>
                </c:pt>
                <c:pt idx="10">
                  <c:v>290</c:v>
                </c:pt>
                <c:pt idx="11">
                  <c:v>291</c:v>
                </c:pt>
                <c:pt idx="12">
                  <c:v>292</c:v>
                </c:pt>
                <c:pt idx="13">
                  <c:v>293</c:v>
                </c:pt>
                <c:pt idx="14">
                  <c:v>294</c:v>
                </c:pt>
                <c:pt idx="15">
                  <c:v>295</c:v>
                </c:pt>
                <c:pt idx="16">
                  <c:v>296</c:v>
                </c:pt>
                <c:pt idx="17">
                  <c:v>297</c:v>
                </c:pt>
                <c:pt idx="18">
                  <c:v>298</c:v>
                </c:pt>
                <c:pt idx="19">
                  <c:v>299</c:v>
                </c:pt>
                <c:pt idx="20">
                  <c:v>300</c:v>
                </c:pt>
                <c:pt idx="21">
                  <c:v>301</c:v>
                </c:pt>
                <c:pt idx="22">
                  <c:v>302</c:v>
                </c:pt>
                <c:pt idx="23">
                  <c:v>303</c:v>
                </c:pt>
                <c:pt idx="24">
                  <c:v>304</c:v>
                </c:pt>
                <c:pt idx="25">
                  <c:v>305</c:v>
                </c:pt>
                <c:pt idx="26">
                  <c:v>306</c:v>
                </c:pt>
                <c:pt idx="27">
                  <c:v>307</c:v>
                </c:pt>
                <c:pt idx="28">
                  <c:v>308</c:v>
                </c:pt>
                <c:pt idx="29">
                  <c:v>309</c:v>
                </c:pt>
                <c:pt idx="30">
                  <c:v>310</c:v>
                </c:pt>
                <c:pt idx="31">
                  <c:v>311</c:v>
                </c:pt>
                <c:pt idx="32">
                  <c:v>312</c:v>
                </c:pt>
                <c:pt idx="33">
                  <c:v>313</c:v>
                </c:pt>
              </c:numCache>
            </c:numRef>
          </c:xVal>
          <c:yVal>
            <c:numRef>
              <c:f>'Skogs teorem'!$H$30:$H$63</c:f>
              <c:numCache>
                <c:ptCount val="34"/>
                <c:pt idx="0">
                  <c:v>288.44015576671137</c:v>
                </c:pt>
                <c:pt idx="1">
                  <c:v>98.63784729360663</c:v>
                </c:pt>
                <c:pt idx="2">
                  <c:v>89.33210799952143</c:v>
                </c:pt>
                <c:pt idx="3">
                  <c:v>80.06079216355197</c:v>
                </c:pt>
                <c:pt idx="4">
                  <c:v>70.82959252489586</c:v>
                </c:pt>
                <c:pt idx="5">
                  <c:v>61.645968677886465</c:v>
                </c:pt>
                <c:pt idx="6">
                  <c:v>52.52002581709429</c:v>
                </c:pt>
                <c:pt idx="7">
                  <c:v>43.46605069292679</c:v>
                </c:pt>
                <c:pt idx="8">
                  <c:v>34.50542878550053</c:v>
                </c:pt>
                <c:pt idx="9">
                  <c:v>25.672854332268425</c:v>
                </c:pt>
                <c:pt idx="10">
                  <c:v>17.031979454140476</c:v>
                </c:pt>
                <c:pt idx="11">
                  <c:v>16.182679814655856</c:v>
                </c:pt>
                <c:pt idx="12">
                  <c:v>15.336764499089718</c:v>
                </c:pt>
                <c:pt idx="13">
                  <c:v>14.494472304342613</c:v>
                </c:pt>
                <c:pt idx="14">
                  <c:v>13.656071504880526</c:v>
                </c:pt>
                <c:pt idx="15">
                  <c:v>12.821865213430748</c:v>
                </c:pt>
                <c:pt idx="16">
                  <c:v>11.992198064269237</c:v>
                </c:pt>
                <c:pt idx="17">
                  <c:v>11.167464641261398</c:v>
                </c:pt>
                <c:pt idx="18">
                  <c:v>10.348120241909324</c:v>
                </c:pt>
                <c:pt idx="19">
                  <c:v>9.534694821184278</c:v>
                </c:pt>
                <c:pt idx="20">
                  <c:v>8.727811344595775</c:v>
                </c:pt>
                <c:pt idx="21">
                  <c:v>7.9282103847214955</c:v>
                </c:pt>
                <c:pt idx="22">
                  <c:v>7.136783771763406</c:v>
                </c:pt>
                <c:pt idx="23">
                  <c:v>6.3546217387770865</c:v>
                </c:pt>
                <c:pt idx="24">
                  <c:v>5.583080831632018</c:v>
                </c:pt>
                <c:pt idx="25">
                  <c:v>4.82388499252256</c:v>
                </c:pt>
                <c:pt idx="26">
                  <c:v>4.079282075859495</c:v>
                </c:pt>
                <c:pt idx="27">
                  <c:v>3.352298206219375</c:v>
                </c:pt>
                <c:pt idx="28">
                  <c:v>2.647177072147131</c:v>
                </c:pt>
                <c:pt idx="29">
                  <c:v>1.9702010595467314</c:v>
                </c:pt>
                <c:pt idx="30">
                  <c:v>1.3314005092785135</c:v>
                </c:pt>
                <c:pt idx="31">
                  <c:v>0.7487153517206013</c:v>
                </c:pt>
                <c:pt idx="32">
                  <c:v>0.2610890684116632</c:v>
                </c:pt>
                <c:pt idx="33">
                  <c:v>7.562339305877686E-12</c:v>
                </c:pt>
              </c:numCache>
            </c:numRef>
          </c:yVal>
          <c:smooth val="1"/>
        </c:ser>
        <c:ser>
          <c:idx val="1"/>
          <c:order val="1"/>
          <c:tx>
            <c:v>Ness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'Skogs teorem'!$B$76:$B$109</c:f>
              <c:numCache>
                <c:ptCount val="34"/>
                <c:pt idx="0">
                  <c:v>0</c:v>
                </c:pt>
                <c:pt idx="1">
                  <c:v>200</c:v>
                </c:pt>
                <c:pt idx="2">
                  <c:v>210</c:v>
                </c:pt>
                <c:pt idx="3">
                  <c:v>220</c:v>
                </c:pt>
                <c:pt idx="4">
                  <c:v>230</c:v>
                </c:pt>
                <c:pt idx="5">
                  <c:v>240</c:v>
                </c:pt>
                <c:pt idx="6">
                  <c:v>250</c:v>
                </c:pt>
                <c:pt idx="7">
                  <c:v>260</c:v>
                </c:pt>
                <c:pt idx="8">
                  <c:v>270</c:v>
                </c:pt>
                <c:pt idx="9">
                  <c:v>280</c:v>
                </c:pt>
                <c:pt idx="10">
                  <c:v>290</c:v>
                </c:pt>
                <c:pt idx="11">
                  <c:v>291</c:v>
                </c:pt>
                <c:pt idx="12">
                  <c:v>292</c:v>
                </c:pt>
                <c:pt idx="13">
                  <c:v>293</c:v>
                </c:pt>
                <c:pt idx="14">
                  <c:v>294</c:v>
                </c:pt>
                <c:pt idx="15">
                  <c:v>295</c:v>
                </c:pt>
                <c:pt idx="16">
                  <c:v>296</c:v>
                </c:pt>
                <c:pt idx="17">
                  <c:v>297</c:v>
                </c:pt>
                <c:pt idx="18">
                  <c:v>298</c:v>
                </c:pt>
                <c:pt idx="19">
                  <c:v>299</c:v>
                </c:pt>
                <c:pt idx="20">
                  <c:v>300</c:v>
                </c:pt>
                <c:pt idx="21">
                  <c:v>301</c:v>
                </c:pt>
                <c:pt idx="22">
                  <c:v>302</c:v>
                </c:pt>
                <c:pt idx="23">
                  <c:v>303</c:v>
                </c:pt>
                <c:pt idx="24">
                  <c:v>304</c:v>
                </c:pt>
                <c:pt idx="25">
                  <c:v>305</c:v>
                </c:pt>
                <c:pt idx="26">
                  <c:v>306</c:v>
                </c:pt>
                <c:pt idx="27">
                  <c:v>307</c:v>
                </c:pt>
                <c:pt idx="28">
                  <c:v>308</c:v>
                </c:pt>
                <c:pt idx="29">
                  <c:v>309</c:v>
                </c:pt>
                <c:pt idx="30">
                  <c:v>310</c:v>
                </c:pt>
                <c:pt idx="31">
                  <c:v>311</c:v>
                </c:pt>
                <c:pt idx="32">
                  <c:v>312</c:v>
                </c:pt>
                <c:pt idx="33">
                  <c:v>313</c:v>
                </c:pt>
              </c:numCache>
            </c:numRef>
          </c:xVal>
          <c:yVal>
            <c:numRef>
              <c:f>'Skogs teorem'!$H$76:$H$109</c:f>
              <c:numCache>
                <c:ptCount val="34"/>
                <c:pt idx="0">
                  <c:v>288.4516570695165</c:v>
                </c:pt>
                <c:pt idx="1">
                  <c:v>98.64438362346988</c:v>
                </c:pt>
                <c:pt idx="2">
                  <c:v>89.33830700794331</c:v>
                </c:pt>
                <c:pt idx="3">
                  <c:v>80.06663729959924</c:v>
                </c:pt>
                <c:pt idx="4">
                  <c:v>70.83506453266584</c:v>
                </c:pt>
                <c:pt idx="5">
                  <c:v>61.6510447682134</c:v>
                </c:pt>
                <c:pt idx="6">
                  <c:v>52.52467843372151</c:v>
                </c:pt>
                <c:pt idx="7">
                  <c:v>43.47024557548568</c:v>
                </c:pt>
                <c:pt idx="8">
                  <c:v>34.50912171122696</c:v>
                </c:pt>
                <c:pt idx="9">
                  <c:v>25.675985088056475</c:v>
                </c:pt>
                <c:pt idx="10">
                  <c:v>17.03445899705589</c:v>
                </c:pt>
                <c:pt idx="11">
                  <c:v>16.185087451954708</c:v>
                </c:pt>
                <c:pt idx="12">
                  <c:v>15.339098693538233</c:v>
                </c:pt>
                <c:pt idx="13">
                  <c:v>14.49673141597204</c:v>
                </c:pt>
                <c:pt idx="14">
                  <c:v>13.658253779053279</c:v>
                </c:pt>
                <c:pt idx="15">
                  <c:v>12.823968766870275</c:v>
                </c:pt>
                <c:pt idx="16">
                  <c:v>11.99422086860016</c:v>
                </c:pt>
                <c:pt idx="17">
                  <c:v>11.169404503461607</c:v>
                </c:pt>
                <c:pt idx="18">
                  <c:v>10.349974780885503</c:v>
                </c:pt>
                <c:pt idx="19">
                  <c:v>9.536461439431942</c:v>
                </c:pt>
                <c:pt idx="20">
                  <c:v>8.7294871935552</c:v>
                </c:pt>
                <c:pt idx="21">
                  <c:v>7.929792321925908</c:v>
                </c:pt>
                <c:pt idx="22">
                  <c:v>7.138268307129443</c:v>
                </c:pt>
                <c:pt idx="23">
                  <c:v>6.356004966301657</c:v>
                </c:pt>
                <c:pt idx="24">
                  <c:v>5.5843583411156015</c:v>
                </c:pt>
                <c:pt idx="25">
                  <c:v>4.825051753411367</c:v>
                </c:pt>
                <c:pt idx="26">
                  <c:v>4.080332281366438</c:v>
                </c:pt>
                <c:pt idx="27">
                  <c:v>3.3532250599191338</c:v>
                </c:pt>
                <c:pt idx="28">
                  <c:v>2.6479724905896185</c:v>
                </c:pt>
                <c:pt idx="29">
                  <c:v>1.9708552560989931</c:v>
                </c:pt>
                <c:pt idx="30">
                  <c:v>1.3319014417614787</c:v>
                </c:pt>
                <c:pt idx="31">
                  <c:v>0.749048249482438</c:v>
                </c:pt>
                <c:pt idx="32">
                  <c:v>0.2612385008706525</c:v>
                </c:pt>
                <c:pt idx="3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Ness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'Skogs teorem'!$B$122:$B$155</c:f>
              <c:numCache>
                <c:ptCount val="34"/>
                <c:pt idx="0">
                  <c:v>0</c:v>
                </c:pt>
                <c:pt idx="1">
                  <c:v>200</c:v>
                </c:pt>
                <c:pt idx="2">
                  <c:v>210</c:v>
                </c:pt>
                <c:pt idx="3">
                  <c:v>220</c:v>
                </c:pt>
                <c:pt idx="4">
                  <c:v>230</c:v>
                </c:pt>
                <c:pt idx="5">
                  <c:v>240</c:v>
                </c:pt>
                <c:pt idx="6">
                  <c:v>250</c:v>
                </c:pt>
                <c:pt idx="7">
                  <c:v>260</c:v>
                </c:pt>
                <c:pt idx="8">
                  <c:v>270</c:v>
                </c:pt>
                <c:pt idx="9">
                  <c:v>280</c:v>
                </c:pt>
                <c:pt idx="10">
                  <c:v>290</c:v>
                </c:pt>
                <c:pt idx="11">
                  <c:v>291</c:v>
                </c:pt>
                <c:pt idx="12">
                  <c:v>292</c:v>
                </c:pt>
                <c:pt idx="13">
                  <c:v>293</c:v>
                </c:pt>
                <c:pt idx="14">
                  <c:v>294</c:v>
                </c:pt>
                <c:pt idx="15">
                  <c:v>295</c:v>
                </c:pt>
                <c:pt idx="16">
                  <c:v>296</c:v>
                </c:pt>
                <c:pt idx="17">
                  <c:v>297</c:v>
                </c:pt>
                <c:pt idx="18">
                  <c:v>298</c:v>
                </c:pt>
                <c:pt idx="19">
                  <c:v>299</c:v>
                </c:pt>
                <c:pt idx="20">
                  <c:v>300</c:v>
                </c:pt>
                <c:pt idx="21">
                  <c:v>301</c:v>
                </c:pt>
                <c:pt idx="22">
                  <c:v>302</c:v>
                </c:pt>
                <c:pt idx="23">
                  <c:v>303</c:v>
                </c:pt>
                <c:pt idx="24">
                  <c:v>304</c:v>
                </c:pt>
                <c:pt idx="25">
                  <c:v>305</c:v>
                </c:pt>
                <c:pt idx="26">
                  <c:v>306</c:v>
                </c:pt>
                <c:pt idx="27">
                  <c:v>307</c:v>
                </c:pt>
                <c:pt idx="28">
                  <c:v>308</c:v>
                </c:pt>
                <c:pt idx="29">
                  <c:v>309</c:v>
                </c:pt>
                <c:pt idx="30">
                  <c:v>310</c:v>
                </c:pt>
                <c:pt idx="31">
                  <c:v>311</c:v>
                </c:pt>
                <c:pt idx="32">
                  <c:v>312</c:v>
                </c:pt>
                <c:pt idx="33">
                  <c:v>313</c:v>
                </c:pt>
              </c:numCache>
            </c:numRef>
          </c:xVal>
          <c:yVal>
            <c:numRef>
              <c:f>'Skogs teorem'!$H$122:$H$155</c:f>
              <c:numCache>
                <c:ptCount val="34"/>
                <c:pt idx="0">
                  <c:v>289.09695957891034</c:v>
                </c:pt>
                <c:pt idx="1">
                  <c:v>99.01140804347277</c:v>
                </c:pt>
                <c:pt idx="2">
                  <c:v>89.68642354268196</c:v>
                </c:pt>
                <c:pt idx="3">
                  <c:v>80.39491781647176</c:v>
                </c:pt>
                <c:pt idx="4">
                  <c:v>71.1424291370872</c:v>
                </c:pt>
                <c:pt idx="5">
                  <c:v>61.93621530616146</c:v>
                </c:pt>
                <c:pt idx="6">
                  <c:v>52.78610921413634</c:v>
                </c:pt>
                <c:pt idx="7">
                  <c:v>43.70601457855653</c:v>
                </c:pt>
                <c:pt idx="8">
                  <c:v>34.71674751859147</c:v>
                </c:pt>
                <c:pt idx="9">
                  <c:v>25.852088008370398</c:v>
                </c:pt>
                <c:pt idx="10">
                  <c:v>17.17403862026602</c:v>
                </c:pt>
                <c:pt idx="11">
                  <c:v>16.32063356129989</c:v>
                </c:pt>
                <c:pt idx="12">
                  <c:v>15.470524882389084</c:v>
                </c:pt>
                <c:pt idx="13">
                  <c:v>14.623945489927754</c:v>
                </c:pt>
                <c:pt idx="14">
                  <c:v>13.781157081598565</c:v>
                </c:pt>
                <c:pt idx="15">
                  <c:v>12.942455390097647</c:v>
                </c:pt>
                <c:pt idx="16">
                  <c:v>12.108176722636818</c:v>
                </c:pt>
                <c:pt idx="17">
                  <c:v>11.278706210507936</c:v>
                </c:pt>
                <c:pt idx="18">
                  <c:v>10.454488349266462</c:v>
                </c:pt>
                <c:pt idx="19">
                  <c:v>9.636040658433101</c:v>
                </c:pt>
                <c:pt idx="20">
                  <c:v>8.823971669358238</c:v>
                </c:pt>
                <c:pt idx="21">
                  <c:v>8.019005045671985</c:v>
                </c:pt>
                <c:pt idx="22">
                  <c:v>7.222012603459805</c:v>
                </c:pt>
                <c:pt idx="23">
                  <c:v>6.434060607437901</c:v>
                </c:pt>
                <c:pt idx="24">
                  <c:v>5.656476515636631</c:v>
                </c:pt>
                <c:pt idx="25">
                  <c:v>4.890948430906348</c:v>
                </c:pt>
                <c:pt idx="26">
                  <c:v>4.139679282607399</c:v>
                </c:pt>
                <c:pt idx="27">
                  <c:v>3.4056377804330364</c:v>
                </c:pt>
                <c:pt idx="28">
                  <c:v>2.6929926884720845</c:v>
                </c:pt>
                <c:pt idx="29">
                  <c:v>2.007926710685007</c:v>
                </c:pt>
                <c:pt idx="30">
                  <c:v>1.3603369000160694</c:v>
                </c:pt>
                <c:pt idx="31">
                  <c:v>0.7679979756814241</c:v>
                </c:pt>
                <c:pt idx="32">
                  <c:v>0.2697924780496582</c:v>
                </c:pt>
                <c:pt idx="33">
                  <c:v>0</c:v>
                </c:pt>
              </c:numCache>
            </c:numRef>
          </c:yVal>
          <c:smooth val="1"/>
        </c:ser>
        <c:axId val="14643307"/>
        <c:axId val="64680900"/>
      </c:scatterChart>
      <c:valAx>
        <c:axId val="1464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 tubing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80900"/>
        <c:crosses val="autoZero"/>
        <c:crossBetween val="midCat"/>
        <c:dispUnits/>
      </c:valAx>
      <c:valAx>
        <c:axId val="646809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DP-punch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433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P-hullvegg vs. DP-punch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Ness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'Skogs teorem'!$G$30:$G$63</c:f>
              <c:numCache>
                <c:ptCount val="34"/>
                <c:pt idx="0">
                  <c:v>288.44015576671137</c:v>
                </c:pt>
                <c:pt idx="1">
                  <c:v>298.6378472936066</c:v>
                </c:pt>
                <c:pt idx="2">
                  <c:v>299.33210799952144</c:v>
                </c:pt>
                <c:pt idx="3">
                  <c:v>300.060792163552</c:v>
                </c:pt>
                <c:pt idx="4">
                  <c:v>300.8295925248959</c:v>
                </c:pt>
                <c:pt idx="5">
                  <c:v>301.64596867788646</c:v>
                </c:pt>
                <c:pt idx="6">
                  <c:v>302.5200258170943</c:v>
                </c:pt>
                <c:pt idx="7">
                  <c:v>303.4660506929268</c:v>
                </c:pt>
                <c:pt idx="8">
                  <c:v>304.5054287855005</c:v>
                </c:pt>
                <c:pt idx="9">
                  <c:v>305.6728543322684</c:v>
                </c:pt>
                <c:pt idx="10">
                  <c:v>307.03197945414047</c:v>
                </c:pt>
                <c:pt idx="11">
                  <c:v>307.18267981465584</c:v>
                </c:pt>
                <c:pt idx="12">
                  <c:v>307.3367644990897</c:v>
                </c:pt>
                <c:pt idx="13">
                  <c:v>307.4944723043426</c:v>
                </c:pt>
                <c:pt idx="14">
                  <c:v>307.6560715048805</c:v>
                </c:pt>
                <c:pt idx="15">
                  <c:v>307.8218652134307</c:v>
                </c:pt>
                <c:pt idx="16">
                  <c:v>307.99219806426925</c:v>
                </c:pt>
                <c:pt idx="17">
                  <c:v>308.1674646412614</c:v>
                </c:pt>
                <c:pt idx="18">
                  <c:v>308.3481202419093</c:v>
                </c:pt>
                <c:pt idx="19">
                  <c:v>308.5346948211843</c:v>
                </c:pt>
                <c:pt idx="20">
                  <c:v>308.72781134459575</c:v>
                </c:pt>
                <c:pt idx="21">
                  <c:v>308.92821038472147</c:v>
                </c:pt>
                <c:pt idx="22">
                  <c:v>309.1367837717634</c:v>
                </c:pt>
                <c:pt idx="23">
                  <c:v>309.3546217387771</c:v>
                </c:pt>
                <c:pt idx="24">
                  <c:v>309.583080831632</c:v>
                </c:pt>
                <c:pt idx="25">
                  <c:v>309.82388499252255</c:v>
                </c:pt>
                <c:pt idx="26">
                  <c:v>310.0792820758595</c:v>
                </c:pt>
                <c:pt idx="27">
                  <c:v>310.35229820621936</c:v>
                </c:pt>
                <c:pt idx="28">
                  <c:v>310.64717707214714</c:v>
                </c:pt>
                <c:pt idx="29">
                  <c:v>310.97020105954675</c:v>
                </c:pt>
                <c:pt idx="30">
                  <c:v>311.3314005092785</c:v>
                </c:pt>
                <c:pt idx="31">
                  <c:v>311.7487153517206</c:v>
                </c:pt>
                <c:pt idx="32">
                  <c:v>312.26108906841165</c:v>
                </c:pt>
                <c:pt idx="33">
                  <c:v>313.00000000000756</c:v>
                </c:pt>
              </c:numCache>
            </c:numRef>
          </c:xVal>
          <c:yVal>
            <c:numRef>
              <c:f>'Skogs teorem'!$H$30:$H$63</c:f>
              <c:numCache>
                <c:ptCount val="34"/>
                <c:pt idx="0">
                  <c:v>288.44015576671137</c:v>
                </c:pt>
                <c:pt idx="1">
                  <c:v>98.63784729360663</c:v>
                </c:pt>
                <c:pt idx="2">
                  <c:v>89.33210799952143</c:v>
                </c:pt>
                <c:pt idx="3">
                  <c:v>80.06079216355197</c:v>
                </c:pt>
                <c:pt idx="4">
                  <c:v>70.82959252489586</c:v>
                </c:pt>
                <c:pt idx="5">
                  <c:v>61.645968677886465</c:v>
                </c:pt>
                <c:pt idx="6">
                  <c:v>52.52002581709429</c:v>
                </c:pt>
                <c:pt idx="7">
                  <c:v>43.46605069292679</c:v>
                </c:pt>
                <c:pt idx="8">
                  <c:v>34.50542878550053</c:v>
                </c:pt>
                <c:pt idx="9">
                  <c:v>25.672854332268425</c:v>
                </c:pt>
                <c:pt idx="10">
                  <c:v>17.031979454140476</c:v>
                </c:pt>
                <c:pt idx="11">
                  <c:v>16.182679814655856</c:v>
                </c:pt>
                <c:pt idx="12">
                  <c:v>15.336764499089718</c:v>
                </c:pt>
                <c:pt idx="13">
                  <c:v>14.494472304342613</c:v>
                </c:pt>
                <c:pt idx="14">
                  <c:v>13.656071504880526</c:v>
                </c:pt>
                <c:pt idx="15">
                  <c:v>12.821865213430748</c:v>
                </c:pt>
                <c:pt idx="16">
                  <c:v>11.992198064269237</c:v>
                </c:pt>
                <c:pt idx="17">
                  <c:v>11.167464641261398</c:v>
                </c:pt>
                <c:pt idx="18">
                  <c:v>10.348120241909324</c:v>
                </c:pt>
                <c:pt idx="19">
                  <c:v>9.534694821184278</c:v>
                </c:pt>
                <c:pt idx="20">
                  <c:v>8.727811344595775</c:v>
                </c:pt>
                <c:pt idx="21">
                  <c:v>7.9282103847214955</c:v>
                </c:pt>
                <c:pt idx="22">
                  <c:v>7.136783771763406</c:v>
                </c:pt>
                <c:pt idx="23">
                  <c:v>6.3546217387770865</c:v>
                </c:pt>
                <c:pt idx="24">
                  <c:v>5.583080831632018</c:v>
                </c:pt>
                <c:pt idx="25">
                  <c:v>4.82388499252256</c:v>
                </c:pt>
                <c:pt idx="26">
                  <c:v>4.079282075859495</c:v>
                </c:pt>
                <c:pt idx="27">
                  <c:v>3.352298206219375</c:v>
                </c:pt>
                <c:pt idx="28">
                  <c:v>2.647177072147131</c:v>
                </c:pt>
                <c:pt idx="29">
                  <c:v>1.9702010595467314</c:v>
                </c:pt>
                <c:pt idx="30">
                  <c:v>1.3314005092785135</c:v>
                </c:pt>
                <c:pt idx="31">
                  <c:v>0.7487153517206013</c:v>
                </c:pt>
                <c:pt idx="32">
                  <c:v>0.2610890684116632</c:v>
                </c:pt>
                <c:pt idx="33">
                  <c:v>7.562339305877686E-12</c:v>
                </c:pt>
              </c:numCache>
            </c:numRef>
          </c:yVal>
          <c:smooth val="1"/>
        </c:ser>
        <c:ser>
          <c:idx val="1"/>
          <c:order val="1"/>
          <c:tx>
            <c:v>Ness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'Skogs teorem'!$G$76:$G$109</c:f>
              <c:numCache>
                <c:ptCount val="34"/>
                <c:pt idx="0">
                  <c:v>288.4516570695165</c:v>
                </c:pt>
                <c:pt idx="1">
                  <c:v>298.6443836234699</c:v>
                </c:pt>
                <c:pt idx="2">
                  <c:v>299.33830700794334</c:v>
                </c:pt>
                <c:pt idx="3">
                  <c:v>300.0666372995992</c:v>
                </c:pt>
                <c:pt idx="4">
                  <c:v>300.83506453266585</c:v>
                </c:pt>
                <c:pt idx="5">
                  <c:v>301.6510447682134</c:v>
                </c:pt>
                <c:pt idx="6">
                  <c:v>302.52467843372153</c:v>
                </c:pt>
                <c:pt idx="7">
                  <c:v>303.47024557548565</c:v>
                </c:pt>
                <c:pt idx="8">
                  <c:v>304.50912171122695</c:v>
                </c:pt>
                <c:pt idx="9">
                  <c:v>305.67598508805645</c:v>
                </c:pt>
                <c:pt idx="10">
                  <c:v>307.0344589970559</c:v>
                </c:pt>
                <c:pt idx="11">
                  <c:v>307.1850874519547</c:v>
                </c:pt>
                <c:pt idx="12">
                  <c:v>307.33909869353823</c:v>
                </c:pt>
                <c:pt idx="13">
                  <c:v>307.496731415972</c:v>
                </c:pt>
                <c:pt idx="14">
                  <c:v>307.65825377905327</c:v>
                </c:pt>
                <c:pt idx="15">
                  <c:v>307.8239687668703</c:v>
                </c:pt>
                <c:pt idx="16">
                  <c:v>307.99422086860017</c:v>
                </c:pt>
                <c:pt idx="17">
                  <c:v>308.16940450346164</c:v>
                </c:pt>
                <c:pt idx="18">
                  <c:v>308.3499747808855</c:v>
                </c:pt>
                <c:pt idx="19">
                  <c:v>308.53646143943195</c:v>
                </c:pt>
                <c:pt idx="20">
                  <c:v>308.7294871935552</c:v>
                </c:pt>
                <c:pt idx="21">
                  <c:v>308.9297923219259</c:v>
                </c:pt>
                <c:pt idx="22">
                  <c:v>309.13826830712947</c:v>
                </c:pt>
                <c:pt idx="23">
                  <c:v>309.35600496630167</c:v>
                </c:pt>
                <c:pt idx="24">
                  <c:v>309.5843583411156</c:v>
                </c:pt>
                <c:pt idx="25">
                  <c:v>309.82505175341134</c:v>
                </c:pt>
                <c:pt idx="26">
                  <c:v>310.08033228136645</c:v>
                </c:pt>
                <c:pt idx="27">
                  <c:v>310.3532250599191</c:v>
                </c:pt>
                <c:pt idx="28">
                  <c:v>310.6479724905896</c:v>
                </c:pt>
                <c:pt idx="29">
                  <c:v>310.970855256099</c:v>
                </c:pt>
                <c:pt idx="30">
                  <c:v>311.3319014417615</c:v>
                </c:pt>
                <c:pt idx="31">
                  <c:v>311.7490482494824</c:v>
                </c:pt>
                <c:pt idx="32">
                  <c:v>312.26123850087066</c:v>
                </c:pt>
                <c:pt idx="33">
                  <c:v>313</c:v>
                </c:pt>
              </c:numCache>
            </c:numRef>
          </c:xVal>
          <c:yVal>
            <c:numRef>
              <c:f>'Skogs teorem'!$H$76:$H$109</c:f>
              <c:numCache>
                <c:ptCount val="34"/>
                <c:pt idx="0">
                  <c:v>288.4516570695165</c:v>
                </c:pt>
                <c:pt idx="1">
                  <c:v>98.64438362346988</c:v>
                </c:pt>
                <c:pt idx="2">
                  <c:v>89.33830700794331</c:v>
                </c:pt>
                <c:pt idx="3">
                  <c:v>80.06663729959924</c:v>
                </c:pt>
                <c:pt idx="4">
                  <c:v>70.83506453266584</c:v>
                </c:pt>
                <c:pt idx="5">
                  <c:v>61.6510447682134</c:v>
                </c:pt>
                <c:pt idx="6">
                  <c:v>52.52467843372151</c:v>
                </c:pt>
                <c:pt idx="7">
                  <c:v>43.47024557548568</c:v>
                </c:pt>
                <c:pt idx="8">
                  <c:v>34.50912171122696</c:v>
                </c:pt>
                <c:pt idx="9">
                  <c:v>25.675985088056475</c:v>
                </c:pt>
                <c:pt idx="10">
                  <c:v>17.03445899705589</c:v>
                </c:pt>
                <c:pt idx="11">
                  <c:v>16.185087451954708</c:v>
                </c:pt>
                <c:pt idx="12">
                  <c:v>15.339098693538233</c:v>
                </c:pt>
                <c:pt idx="13">
                  <c:v>14.49673141597204</c:v>
                </c:pt>
                <c:pt idx="14">
                  <c:v>13.658253779053279</c:v>
                </c:pt>
                <c:pt idx="15">
                  <c:v>12.823968766870275</c:v>
                </c:pt>
                <c:pt idx="16">
                  <c:v>11.99422086860016</c:v>
                </c:pt>
                <c:pt idx="17">
                  <c:v>11.169404503461607</c:v>
                </c:pt>
                <c:pt idx="18">
                  <c:v>10.349974780885503</c:v>
                </c:pt>
                <c:pt idx="19">
                  <c:v>9.536461439431942</c:v>
                </c:pt>
                <c:pt idx="20">
                  <c:v>8.7294871935552</c:v>
                </c:pt>
                <c:pt idx="21">
                  <c:v>7.929792321925908</c:v>
                </c:pt>
                <c:pt idx="22">
                  <c:v>7.138268307129443</c:v>
                </c:pt>
                <c:pt idx="23">
                  <c:v>6.356004966301657</c:v>
                </c:pt>
                <c:pt idx="24">
                  <c:v>5.5843583411156015</c:v>
                </c:pt>
                <c:pt idx="25">
                  <c:v>4.825051753411367</c:v>
                </c:pt>
                <c:pt idx="26">
                  <c:v>4.080332281366438</c:v>
                </c:pt>
                <c:pt idx="27">
                  <c:v>3.3532250599191338</c:v>
                </c:pt>
                <c:pt idx="28">
                  <c:v>2.6479724905896185</c:v>
                </c:pt>
                <c:pt idx="29">
                  <c:v>1.9708552560989931</c:v>
                </c:pt>
                <c:pt idx="30">
                  <c:v>1.3319014417614787</c:v>
                </c:pt>
                <c:pt idx="31">
                  <c:v>0.749048249482438</c:v>
                </c:pt>
                <c:pt idx="32">
                  <c:v>0.2612385008706525</c:v>
                </c:pt>
                <c:pt idx="3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Ness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'Skogs teorem'!$G$122:$G$155</c:f>
              <c:numCache>
                <c:ptCount val="34"/>
                <c:pt idx="0">
                  <c:v>289.09695957891034</c:v>
                </c:pt>
                <c:pt idx="1">
                  <c:v>299.0114080434728</c:v>
                </c:pt>
                <c:pt idx="2">
                  <c:v>299.68642354268195</c:v>
                </c:pt>
                <c:pt idx="3">
                  <c:v>300.3949178164718</c:v>
                </c:pt>
                <c:pt idx="4">
                  <c:v>301.1424291370872</c:v>
                </c:pt>
                <c:pt idx="5">
                  <c:v>301.93621530616144</c:v>
                </c:pt>
                <c:pt idx="6">
                  <c:v>302.78610921413633</c:v>
                </c:pt>
                <c:pt idx="7">
                  <c:v>303.7060145785565</c:v>
                </c:pt>
                <c:pt idx="8">
                  <c:v>304.7167475185915</c:v>
                </c:pt>
                <c:pt idx="9">
                  <c:v>305.8520880083704</c:v>
                </c:pt>
                <c:pt idx="10">
                  <c:v>307.174038620266</c:v>
                </c:pt>
                <c:pt idx="11">
                  <c:v>307.32063356129987</c:v>
                </c:pt>
                <c:pt idx="12">
                  <c:v>307.4705248823891</c:v>
                </c:pt>
                <c:pt idx="13">
                  <c:v>307.62394548992773</c:v>
                </c:pt>
                <c:pt idx="14">
                  <c:v>307.78115708159856</c:v>
                </c:pt>
                <c:pt idx="15">
                  <c:v>307.9424553900976</c:v>
                </c:pt>
                <c:pt idx="16">
                  <c:v>308.1081767226368</c:v>
                </c:pt>
                <c:pt idx="17">
                  <c:v>308.27870621050795</c:v>
                </c:pt>
                <c:pt idx="18">
                  <c:v>308.45448834926646</c:v>
                </c:pt>
                <c:pt idx="19">
                  <c:v>308.6360406584331</c:v>
                </c:pt>
                <c:pt idx="20">
                  <c:v>308.82397166935823</c:v>
                </c:pt>
                <c:pt idx="21">
                  <c:v>309.019005045672</c:v>
                </c:pt>
                <c:pt idx="22">
                  <c:v>309.2220126034598</c:v>
                </c:pt>
                <c:pt idx="23">
                  <c:v>309.4340606074379</c:v>
                </c:pt>
                <c:pt idx="24">
                  <c:v>309.65647651563665</c:v>
                </c:pt>
                <c:pt idx="25">
                  <c:v>309.89094843090635</c:v>
                </c:pt>
                <c:pt idx="26">
                  <c:v>310.1396792826074</c:v>
                </c:pt>
                <c:pt idx="27">
                  <c:v>310.40563778043304</c:v>
                </c:pt>
                <c:pt idx="28">
                  <c:v>310.6929926884721</c:v>
                </c:pt>
                <c:pt idx="29">
                  <c:v>311.007926710685</c:v>
                </c:pt>
                <c:pt idx="30">
                  <c:v>311.3603369000161</c:v>
                </c:pt>
                <c:pt idx="31">
                  <c:v>311.7679979756814</c:v>
                </c:pt>
                <c:pt idx="32">
                  <c:v>312.2697924780497</c:v>
                </c:pt>
                <c:pt idx="33">
                  <c:v>313</c:v>
                </c:pt>
              </c:numCache>
            </c:numRef>
          </c:xVal>
          <c:yVal>
            <c:numRef>
              <c:f>'Skogs teorem'!$H$122:$H$155</c:f>
              <c:numCache>
                <c:ptCount val="34"/>
                <c:pt idx="0">
                  <c:v>289.09695957891034</c:v>
                </c:pt>
                <c:pt idx="1">
                  <c:v>99.01140804347277</c:v>
                </c:pt>
                <c:pt idx="2">
                  <c:v>89.68642354268196</c:v>
                </c:pt>
                <c:pt idx="3">
                  <c:v>80.39491781647176</c:v>
                </c:pt>
                <c:pt idx="4">
                  <c:v>71.1424291370872</c:v>
                </c:pt>
                <c:pt idx="5">
                  <c:v>61.93621530616146</c:v>
                </c:pt>
                <c:pt idx="6">
                  <c:v>52.78610921413634</c:v>
                </c:pt>
                <c:pt idx="7">
                  <c:v>43.70601457855653</c:v>
                </c:pt>
                <c:pt idx="8">
                  <c:v>34.71674751859147</c:v>
                </c:pt>
                <c:pt idx="9">
                  <c:v>25.852088008370398</c:v>
                </c:pt>
                <c:pt idx="10">
                  <c:v>17.17403862026602</c:v>
                </c:pt>
                <c:pt idx="11">
                  <c:v>16.32063356129989</c:v>
                </c:pt>
                <c:pt idx="12">
                  <c:v>15.470524882389084</c:v>
                </c:pt>
                <c:pt idx="13">
                  <c:v>14.623945489927754</c:v>
                </c:pt>
                <c:pt idx="14">
                  <c:v>13.781157081598565</c:v>
                </c:pt>
                <c:pt idx="15">
                  <c:v>12.942455390097647</c:v>
                </c:pt>
                <c:pt idx="16">
                  <c:v>12.108176722636818</c:v>
                </c:pt>
                <c:pt idx="17">
                  <c:v>11.278706210507936</c:v>
                </c:pt>
                <c:pt idx="18">
                  <c:v>10.454488349266462</c:v>
                </c:pt>
                <c:pt idx="19">
                  <c:v>9.636040658433101</c:v>
                </c:pt>
                <c:pt idx="20">
                  <c:v>8.823971669358238</c:v>
                </c:pt>
                <c:pt idx="21">
                  <c:v>8.019005045671985</c:v>
                </c:pt>
                <c:pt idx="22">
                  <c:v>7.222012603459805</c:v>
                </c:pt>
                <c:pt idx="23">
                  <c:v>6.434060607437901</c:v>
                </c:pt>
                <c:pt idx="24">
                  <c:v>5.656476515636631</c:v>
                </c:pt>
                <c:pt idx="25">
                  <c:v>4.890948430906348</c:v>
                </c:pt>
                <c:pt idx="26">
                  <c:v>4.139679282607399</c:v>
                </c:pt>
                <c:pt idx="27">
                  <c:v>3.4056377804330364</c:v>
                </c:pt>
                <c:pt idx="28">
                  <c:v>2.6929926884720845</c:v>
                </c:pt>
                <c:pt idx="29">
                  <c:v>2.007926710685007</c:v>
                </c:pt>
                <c:pt idx="30">
                  <c:v>1.3603369000160694</c:v>
                </c:pt>
                <c:pt idx="31">
                  <c:v>0.7679979756814241</c:v>
                </c:pt>
                <c:pt idx="32">
                  <c:v>0.2697924780496582</c:v>
                </c:pt>
                <c:pt idx="33">
                  <c:v>0</c:v>
                </c:pt>
              </c:numCache>
            </c:numRef>
          </c:yVal>
          <c:smooth val="1"/>
        </c:ser>
        <c:axId val="45257189"/>
        <c:axId val="4661518"/>
      </c:scatterChart>
      <c:valAx>
        <c:axId val="4525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P-hullvegg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518"/>
        <c:crosses val="autoZero"/>
        <c:crossBetween val="midCat"/>
        <c:dispUnits/>
      </c:valAx>
      <c:valAx>
        <c:axId val="46615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DP-punch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57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DP-punch vs Q-tot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Ness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'Skogs teorem'!$G$168:$G$201</c:f>
              <c:numCache>
                <c:ptCount val="34"/>
                <c:pt idx="0">
                  <c:v>288.44015576671137</c:v>
                </c:pt>
                <c:pt idx="1">
                  <c:v>98.63784729360663</c:v>
                </c:pt>
                <c:pt idx="2">
                  <c:v>89.33210799952143</c:v>
                </c:pt>
                <c:pt idx="3">
                  <c:v>80.06079216355197</c:v>
                </c:pt>
                <c:pt idx="4">
                  <c:v>70.82959252489586</c:v>
                </c:pt>
                <c:pt idx="5">
                  <c:v>61.645968677886465</c:v>
                </c:pt>
                <c:pt idx="6">
                  <c:v>52.52002581709429</c:v>
                </c:pt>
                <c:pt idx="7">
                  <c:v>43.46605069292679</c:v>
                </c:pt>
                <c:pt idx="8">
                  <c:v>34.50542878550053</c:v>
                </c:pt>
                <c:pt idx="9">
                  <c:v>25.672854332268425</c:v>
                </c:pt>
                <c:pt idx="10">
                  <c:v>17.031979454140476</c:v>
                </c:pt>
                <c:pt idx="11">
                  <c:v>16.182679814655856</c:v>
                </c:pt>
                <c:pt idx="12">
                  <c:v>15.336764499089718</c:v>
                </c:pt>
                <c:pt idx="13">
                  <c:v>14.494472304342613</c:v>
                </c:pt>
                <c:pt idx="14">
                  <c:v>13.656071504880526</c:v>
                </c:pt>
                <c:pt idx="15">
                  <c:v>12.821865213430748</c:v>
                </c:pt>
                <c:pt idx="16">
                  <c:v>11.992198064269237</c:v>
                </c:pt>
                <c:pt idx="17">
                  <c:v>11.167464641261398</c:v>
                </c:pt>
                <c:pt idx="18">
                  <c:v>10.348120241909324</c:v>
                </c:pt>
                <c:pt idx="19">
                  <c:v>9.534694821184278</c:v>
                </c:pt>
                <c:pt idx="20">
                  <c:v>8.727811344595775</c:v>
                </c:pt>
                <c:pt idx="21">
                  <c:v>7.9282103847214955</c:v>
                </c:pt>
                <c:pt idx="22">
                  <c:v>7.136783771763406</c:v>
                </c:pt>
                <c:pt idx="23">
                  <c:v>6.3546217387770865</c:v>
                </c:pt>
                <c:pt idx="24">
                  <c:v>5.583080831632018</c:v>
                </c:pt>
                <c:pt idx="25">
                  <c:v>4.82388499252256</c:v>
                </c:pt>
                <c:pt idx="26">
                  <c:v>4.079282075859495</c:v>
                </c:pt>
                <c:pt idx="27">
                  <c:v>3.352298206219375</c:v>
                </c:pt>
                <c:pt idx="28">
                  <c:v>2.647177072147131</c:v>
                </c:pt>
                <c:pt idx="29">
                  <c:v>1.9702010595467314</c:v>
                </c:pt>
                <c:pt idx="30">
                  <c:v>1.3314005092785135</c:v>
                </c:pt>
                <c:pt idx="31">
                  <c:v>0.7487153517206013</c:v>
                </c:pt>
                <c:pt idx="32">
                  <c:v>0.2610890684116632</c:v>
                </c:pt>
                <c:pt idx="33">
                  <c:v>7.562339305877686E-12</c:v>
                </c:pt>
              </c:numCache>
            </c:numRef>
          </c:xVal>
          <c:yVal>
            <c:numRef>
              <c:f>'Skogs teorem'!$K$168:$K$201</c:f>
              <c:numCache>
                <c:ptCount val="34"/>
                <c:pt idx="0">
                  <c:v>0.8128895864860173</c:v>
                </c:pt>
                <c:pt idx="1">
                  <c:v>0.4754549886596129</c:v>
                </c:pt>
                <c:pt idx="2">
                  <c:v>0.45248204743741305</c:v>
                </c:pt>
                <c:pt idx="3">
                  <c:v>0.4283699578331477</c:v>
                </c:pt>
                <c:pt idx="4">
                  <c:v>0.40293031915701805</c:v>
                </c:pt>
                <c:pt idx="5">
                  <c:v>0.37591625142903473</c:v>
                </c:pt>
                <c:pt idx="6">
                  <c:v>0.346993307643075</c:v>
                </c:pt>
                <c:pt idx="7">
                  <c:v>0.315688628714889</c:v>
                </c:pt>
                <c:pt idx="8">
                  <c:v>0.2812943688386478</c:v>
                </c:pt>
                <c:pt idx="9">
                  <c:v>0.2426620885070218</c:v>
                </c:pt>
                <c:pt idx="10">
                  <c:v>0.19768454918082956</c:v>
                </c:pt>
                <c:pt idx="11">
                  <c:v>0.19269727676428017</c:v>
                </c:pt>
                <c:pt idx="12">
                  <c:v>0.1875979665252781</c:v>
                </c:pt>
                <c:pt idx="13">
                  <c:v>0.18237871036011077</c:v>
                </c:pt>
                <c:pt idx="14">
                  <c:v>0.17703062361625643</c:v>
                </c:pt>
                <c:pt idx="15">
                  <c:v>0.17154366743206262</c:v>
                </c:pt>
                <c:pt idx="16">
                  <c:v>0.16590642722605892</c:v>
                </c:pt>
                <c:pt idx="17">
                  <c:v>0.16010583333337286</c:v>
                </c:pt>
                <c:pt idx="18">
                  <c:v>0.15412680417518665</c:v>
                </c:pt>
                <c:pt idx="19">
                  <c:v>0.14795178396642825</c:v>
                </c:pt>
                <c:pt idx="20">
                  <c:v>0.1415601341634609</c:v>
                </c:pt>
                <c:pt idx="21">
                  <c:v>0.13492731777405687</c:v>
                </c:pt>
                <c:pt idx="22">
                  <c:v>0.1280237832277119</c:v>
                </c:pt>
                <c:pt idx="23">
                  <c:v>0.12081340035356639</c:v>
                </c:pt>
                <c:pt idx="24">
                  <c:v>0.11325120699362703</c:v>
                </c:pt>
                <c:pt idx="25">
                  <c:v>0.10528005395740173</c:v>
                </c:pt>
                <c:pt idx="26">
                  <c:v>0.09682540844795746</c:v>
                </c:pt>
                <c:pt idx="27">
                  <c:v>0.08778690558053735</c:v>
                </c:pt>
                <c:pt idx="28">
                  <c:v>0.07802374977095232</c:v>
                </c:pt>
                <c:pt idx="29">
                  <c:v>0.06732740820120077</c:v>
                </c:pt>
                <c:pt idx="30">
                  <c:v>0.0553647155633229</c:v>
                </c:pt>
                <c:pt idx="31">
                  <c:v>0.04153914506932958</c:v>
                </c:pt>
                <c:pt idx="32">
                  <c:v>0.024553176844023465</c:v>
                </c:pt>
                <c:pt idx="33">
                  <c:v>-9.624129360547381E-14</c:v>
                </c:pt>
              </c:numCache>
            </c:numRef>
          </c:yVal>
          <c:smooth val="1"/>
        </c:ser>
        <c:ser>
          <c:idx val="1"/>
          <c:order val="1"/>
          <c:tx>
            <c:v>Ness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'Skogs teorem'!$H$168:$H$201</c:f>
              <c:numCache>
                <c:ptCount val="34"/>
                <c:pt idx="0">
                  <c:v>288.4516570695165</c:v>
                </c:pt>
                <c:pt idx="1">
                  <c:v>98.64438362346988</c:v>
                </c:pt>
                <c:pt idx="2">
                  <c:v>89.33830700794331</c:v>
                </c:pt>
                <c:pt idx="3">
                  <c:v>80.06663729959924</c:v>
                </c:pt>
                <c:pt idx="4">
                  <c:v>70.83506453266584</c:v>
                </c:pt>
                <c:pt idx="5">
                  <c:v>61.6510447682134</c:v>
                </c:pt>
                <c:pt idx="6">
                  <c:v>52.52467843372151</c:v>
                </c:pt>
                <c:pt idx="7">
                  <c:v>43.47024557548568</c:v>
                </c:pt>
                <c:pt idx="8">
                  <c:v>34.50912171122696</c:v>
                </c:pt>
                <c:pt idx="9">
                  <c:v>25.675985088056475</c:v>
                </c:pt>
                <c:pt idx="10">
                  <c:v>17.03445899705589</c:v>
                </c:pt>
                <c:pt idx="11">
                  <c:v>16.185087451954708</c:v>
                </c:pt>
                <c:pt idx="12">
                  <c:v>15.339098693538233</c:v>
                </c:pt>
                <c:pt idx="13">
                  <c:v>14.49673141597204</c:v>
                </c:pt>
                <c:pt idx="14">
                  <c:v>13.658253779053279</c:v>
                </c:pt>
                <c:pt idx="15">
                  <c:v>12.823968766870275</c:v>
                </c:pt>
                <c:pt idx="16">
                  <c:v>11.99422086860016</c:v>
                </c:pt>
                <c:pt idx="17">
                  <c:v>11.169404503461607</c:v>
                </c:pt>
                <c:pt idx="18">
                  <c:v>10.349974780885503</c:v>
                </c:pt>
                <c:pt idx="19">
                  <c:v>9.536461439431942</c:v>
                </c:pt>
                <c:pt idx="20">
                  <c:v>8.7294871935552</c:v>
                </c:pt>
                <c:pt idx="21">
                  <c:v>7.929792321925908</c:v>
                </c:pt>
                <c:pt idx="22">
                  <c:v>7.138268307129443</c:v>
                </c:pt>
                <c:pt idx="23">
                  <c:v>6.356004966301657</c:v>
                </c:pt>
                <c:pt idx="24">
                  <c:v>5.5843583411156015</c:v>
                </c:pt>
                <c:pt idx="25">
                  <c:v>4.825051753411367</c:v>
                </c:pt>
                <c:pt idx="26">
                  <c:v>4.080332281366438</c:v>
                </c:pt>
                <c:pt idx="27">
                  <c:v>3.3532250599191338</c:v>
                </c:pt>
                <c:pt idx="28">
                  <c:v>2.6479724905896185</c:v>
                </c:pt>
                <c:pt idx="29">
                  <c:v>1.9708552560989931</c:v>
                </c:pt>
                <c:pt idx="30">
                  <c:v>1.3319014417614787</c:v>
                </c:pt>
                <c:pt idx="31">
                  <c:v>0.749048249482438</c:v>
                </c:pt>
                <c:pt idx="32">
                  <c:v>0.2612385008706525</c:v>
                </c:pt>
                <c:pt idx="33">
                  <c:v>0</c:v>
                </c:pt>
              </c:numCache>
            </c:numRef>
          </c:xVal>
          <c:yVal>
            <c:numRef>
              <c:f>'Skogs teorem'!$K$168:$K$201</c:f>
              <c:numCache>
                <c:ptCount val="34"/>
                <c:pt idx="0">
                  <c:v>0.8128895864860173</c:v>
                </c:pt>
                <c:pt idx="1">
                  <c:v>0.4754549886596129</c:v>
                </c:pt>
                <c:pt idx="2">
                  <c:v>0.45248204743741305</c:v>
                </c:pt>
                <c:pt idx="3">
                  <c:v>0.4283699578331477</c:v>
                </c:pt>
                <c:pt idx="4">
                  <c:v>0.40293031915701805</c:v>
                </c:pt>
                <c:pt idx="5">
                  <c:v>0.37591625142903473</c:v>
                </c:pt>
                <c:pt idx="6">
                  <c:v>0.346993307643075</c:v>
                </c:pt>
                <c:pt idx="7">
                  <c:v>0.315688628714889</c:v>
                </c:pt>
                <c:pt idx="8">
                  <c:v>0.2812943688386478</c:v>
                </c:pt>
                <c:pt idx="9">
                  <c:v>0.2426620885070218</c:v>
                </c:pt>
                <c:pt idx="10">
                  <c:v>0.19768454918082956</c:v>
                </c:pt>
                <c:pt idx="11">
                  <c:v>0.19269727676428017</c:v>
                </c:pt>
                <c:pt idx="12">
                  <c:v>0.1875979665252781</c:v>
                </c:pt>
                <c:pt idx="13">
                  <c:v>0.18237871036011077</c:v>
                </c:pt>
                <c:pt idx="14">
                  <c:v>0.17703062361625643</c:v>
                </c:pt>
                <c:pt idx="15">
                  <c:v>0.17154366743206262</c:v>
                </c:pt>
                <c:pt idx="16">
                  <c:v>0.16590642722605892</c:v>
                </c:pt>
                <c:pt idx="17">
                  <c:v>0.16010583333337286</c:v>
                </c:pt>
                <c:pt idx="18">
                  <c:v>0.15412680417518665</c:v>
                </c:pt>
                <c:pt idx="19">
                  <c:v>0.14795178396642825</c:v>
                </c:pt>
                <c:pt idx="20">
                  <c:v>0.1415601341634609</c:v>
                </c:pt>
                <c:pt idx="21">
                  <c:v>0.13492731777405687</c:v>
                </c:pt>
                <c:pt idx="22">
                  <c:v>0.1280237832277119</c:v>
                </c:pt>
                <c:pt idx="23">
                  <c:v>0.12081340035356639</c:v>
                </c:pt>
                <c:pt idx="24">
                  <c:v>0.11325120699362703</c:v>
                </c:pt>
                <c:pt idx="25">
                  <c:v>0.10528005395740173</c:v>
                </c:pt>
                <c:pt idx="26">
                  <c:v>0.09682540844795746</c:v>
                </c:pt>
                <c:pt idx="27">
                  <c:v>0.08778690558053735</c:v>
                </c:pt>
                <c:pt idx="28">
                  <c:v>0.07802374977095232</c:v>
                </c:pt>
                <c:pt idx="29">
                  <c:v>0.06732740820120077</c:v>
                </c:pt>
                <c:pt idx="30">
                  <c:v>0.0553647155633229</c:v>
                </c:pt>
                <c:pt idx="31">
                  <c:v>0.04153914506932958</c:v>
                </c:pt>
                <c:pt idx="32">
                  <c:v>0.024553176844023465</c:v>
                </c:pt>
                <c:pt idx="33">
                  <c:v>-9.624129360547381E-14</c:v>
                </c:pt>
              </c:numCache>
            </c:numRef>
          </c:yVal>
          <c:smooth val="1"/>
        </c:ser>
        <c:ser>
          <c:idx val="2"/>
          <c:order val="2"/>
          <c:tx>
            <c:v>Ness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'Skogs teorem'!$I$168:$I$201</c:f>
              <c:numCache>
                <c:ptCount val="34"/>
                <c:pt idx="0">
                  <c:v>289.09695957891034</c:v>
                </c:pt>
                <c:pt idx="1">
                  <c:v>99.01140804347277</c:v>
                </c:pt>
                <c:pt idx="2">
                  <c:v>89.68642354268196</c:v>
                </c:pt>
                <c:pt idx="3">
                  <c:v>80.39491781647176</c:v>
                </c:pt>
                <c:pt idx="4">
                  <c:v>71.1424291370872</c:v>
                </c:pt>
                <c:pt idx="5">
                  <c:v>61.93621530616146</c:v>
                </c:pt>
                <c:pt idx="6">
                  <c:v>52.78610921413634</c:v>
                </c:pt>
                <c:pt idx="7">
                  <c:v>43.70601457855653</c:v>
                </c:pt>
                <c:pt idx="8">
                  <c:v>34.71674751859147</c:v>
                </c:pt>
                <c:pt idx="9">
                  <c:v>25.852088008370398</c:v>
                </c:pt>
                <c:pt idx="10">
                  <c:v>17.17403862026602</c:v>
                </c:pt>
                <c:pt idx="11">
                  <c:v>16.32063356129989</c:v>
                </c:pt>
                <c:pt idx="12">
                  <c:v>15.470524882389084</c:v>
                </c:pt>
                <c:pt idx="13">
                  <c:v>14.623945489927754</c:v>
                </c:pt>
                <c:pt idx="14">
                  <c:v>13.781157081598565</c:v>
                </c:pt>
                <c:pt idx="15">
                  <c:v>12.942455390097647</c:v>
                </c:pt>
                <c:pt idx="16">
                  <c:v>12.108176722636818</c:v>
                </c:pt>
                <c:pt idx="17">
                  <c:v>11.278706210507936</c:v>
                </c:pt>
                <c:pt idx="18">
                  <c:v>10.454488349266462</c:v>
                </c:pt>
                <c:pt idx="19">
                  <c:v>9.636040658433101</c:v>
                </c:pt>
                <c:pt idx="20">
                  <c:v>8.823971669358238</c:v>
                </c:pt>
                <c:pt idx="21">
                  <c:v>8.019005045671985</c:v>
                </c:pt>
                <c:pt idx="22">
                  <c:v>7.222012603459805</c:v>
                </c:pt>
                <c:pt idx="23">
                  <c:v>6.434060607437901</c:v>
                </c:pt>
                <c:pt idx="24">
                  <c:v>5.656476515636631</c:v>
                </c:pt>
                <c:pt idx="25">
                  <c:v>4.890948430906348</c:v>
                </c:pt>
                <c:pt idx="26">
                  <c:v>4.139679282607399</c:v>
                </c:pt>
                <c:pt idx="27">
                  <c:v>3.4056377804330364</c:v>
                </c:pt>
                <c:pt idx="28">
                  <c:v>2.6929926884720845</c:v>
                </c:pt>
                <c:pt idx="29">
                  <c:v>2.007926710685007</c:v>
                </c:pt>
                <c:pt idx="30">
                  <c:v>1.3603369000160694</c:v>
                </c:pt>
                <c:pt idx="31">
                  <c:v>0.7679979756814241</c:v>
                </c:pt>
                <c:pt idx="32">
                  <c:v>0.2697924780496582</c:v>
                </c:pt>
                <c:pt idx="33">
                  <c:v>0</c:v>
                </c:pt>
              </c:numCache>
            </c:numRef>
          </c:xVal>
          <c:yVal>
            <c:numRef>
              <c:f>'Skogs teorem'!$K$168:$K$201</c:f>
              <c:numCache>
                <c:ptCount val="34"/>
                <c:pt idx="0">
                  <c:v>0.8128895864860173</c:v>
                </c:pt>
                <c:pt idx="1">
                  <c:v>0.4754549886596129</c:v>
                </c:pt>
                <c:pt idx="2">
                  <c:v>0.45248204743741305</c:v>
                </c:pt>
                <c:pt idx="3">
                  <c:v>0.4283699578331477</c:v>
                </c:pt>
                <c:pt idx="4">
                  <c:v>0.40293031915701805</c:v>
                </c:pt>
                <c:pt idx="5">
                  <c:v>0.37591625142903473</c:v>
                </c:pt>
                <c:pt idx="6">
                  <c:v>0.346993307643075</c:v>
                </c:pt>
                <c:pt idx="7">
                  <c:v>0.315688628714889</c:v>
                </c:pt>
                <c:pt idx="8">
                  <c:v>0.2812943688386478</c:v>
                </c:pt>
                <c:pt idx="9">
                  <c:v>0.2426620885070218</c:v>
                </c:pt>
                <c:pt idx="10">
                  <c:v>0.19768454918082956</c:v>
                </c:pt>
                <c:pt idx="11">
                  <c:v>0.19269727676428017</c:v>
                </c:pt>
                <c:pt idx="12">
                  <c:v>0.1875979665252781</c:v>
                </c:pt>
                <c:pt idx="13">
                  <c:v>0.18237871036011077</c:v>
                </c:pt>
                <c:pt idx="14">
                  <c:v>0.17703062361625643</c:v>
                </c:pt>
                <c:pt idx="15">
                  <c:v>0.17154366743206262</c:v>
                </c:pt>
                <c:pt idx="16">
                  <c:v>0.16590642722605892</c:v>
                </c:pt>
                <c:pt idx="17">
                  <c:v>0.16010583333337286</c:v>
                </c:pt>
                <c:pt idx="18">
                  <c:v>0.15412680417518665</c:v>
                </c:pt>
                <c:pt idx="19">
                  <c:v>0.14795178396642825</c:v>
                </c:pt>
                <c:pt idx="20">
                  <c:v>0.1415601341634609</c:v>
                </c:pt>
                <c:pt idx="21">
                  <c:v>0.13492731777405687</c:v>
                </c:pt>
                <c:pt idx="22">
                  <c:v>0.1280237832277119</c:v>
                </c:pt>
                <c:pt idx="23">
                  <c:v>0.12081340035356639</c:v>
                </c:pt>
                <c:pt idx="24">
                  <c:v>0.11325120699362703</c:v>
                </c:pt>
                <c:pt idx="25">
                  <c:v>0.10528005395740173</c:v>
                </c:pt>
                <c:pt idx="26">
                  <c:v>0.09682540844795746</c:v>
                </c:pt>
                <c:pt idx="27">
                  <c:v>0.08778690558053735</c:v>
                </c:pt>
                <c:pt idx="28">
                  <c:v>0.07802374977095232</c:v>
                </c:pt>
                <c:pt idx="29">
                  <c:v>0.06732740820120077</c:v>
                </c:pt>
                <c:pt idx="30">
                  <c:v>0.0553647155633229</c:v>
                </c:pt>
                <c:pt idx="31">
                  <c:v>0.04153914506932958</c:v>
                </c:pt>
                <c:pt idx="32">
                  <c:v>0.024553176844023465</c:v>
                </c:pt>
                <c:pt idx="33">
                  <c:v>-9.624129360547381E-14</c:v>
                </c:pt>
              </c:numCache>
            </c:numRef>
          </c:yVal>
          <c:smooth val="1"/>
        </c:ser>
        <c:axId val="41953663"/>
        <c:axId val="42038648"/>
      </c:scatterChart>
      <c:valAx>
        <c:axId val="4195366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DP-punch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38648"/>
        <c:crosses val="autoZero"/>
        <c:crossBetween val="midCat"/>
        <c:dispUnits/>
      </c:valAx>
      <c:valAx>
        <c:axId val="420386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53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P-tubing vs DP-formasjon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Ness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'Skogs teorem'!$B$30:$B$63</c:f>
              <c:numCache>
                <c:ptCount val="34"/>
                <c:pt idx="0">
                  <c:v>0</c:v>
                </c:pt>
                <c:pt idx="1">
                  <c:v>200</c:v>
                </c:pt>
                <c:pt idx="2">
                  <c:v>210</c:v>
                </c:pt>
                <c:pt idx="3">
                  <c:v>220</c:v>
                </c:pt>
                <c:pt idx="4">
                  <c:v>230</c:v>
                </c:pt>
                <c:pt idx="5">
                  <c:v>240</c:v>
                </c:pt>
                <c:pt idx="6">
                  <c:v>250</c:v>
                </c:pt>
                <c:pt idx="7">
                  <c:v>260</c:v>
                </c:pt>
                <c:pt idx="8">
                  <c:v>270</c:v>
                </c:pt>
                <c:pt idx="9">
                  <c:v>280</c:v>
                </c:pt>
                <c:pt idx="10">
                  <c:v>290</c:v>
                </c:pt>
                <c:pt idx="11">
                  <c:v>291</c:v>
                </c:pt>
                <c:pt idx="12">
                  <c:v>292</c:v>
                </c:pt>
                <c:pt idx="13">
                  <c:v>293</c:v>
                </c:pt>
                <c:pt idx="14">
                  <c:v>294</c:v>
                </c:pt>
                <c:pt idx="15">
                  <c:v>295</c:v>
                </c:pt>
                <c:pt idx="16">
                  <c:v>296</c:v>
                </c:pt>
                <c:pt idx="17">
                  <c:v>297</c:v>
                </c:pt>
                <c:pt idx="18">
                  <c:v>298</c:v>
                </c:pt>
                <c:pt idx="19">
                  <c:v>299</c:v>
                </c:pt>
                <c:pt idx="20">
                  <c:v>300</c:v>
                </c:pt>
                <c:pt idx="21">
                  <c:v>301</c:v>
                </c:pt>
                <c:pt idx="22">
                  <c:v>302</c:v>
                </c:pt>
                <c:pt idx="23">
                  <c:v>303</c:v>
                </c:pt>
                <c:pt idx="24">
                  <c:v>304</c:v>
                </c:pt>
                <c:pt idx="25">
                  <c:v>305</c:v>
                </c:pt>
                <c:pt idx="26">
                  <c:v>306</c:v>
                </c:pt>
                <c:pt idx="27">
                  <c:v>307</c:v>
                </c:pt>
                <c:pt idx="28">
                  <c:v>308</c:v>
                </c:pt>
                <c:pt idx="29">
                  <c:v>309</c:v>
                </c:pt>
                <c:pt idx="30">
                  <c:v>310</c:v>
                </c:pt>
                <c:pt idx="31">
                  <c:v>311</c:v>
                </c:pt>
                <c:pt idx="32">
                  <c:v>312</c:v>
                </c:pt>
                <c:pt idx="33">
                  <c:v>313</c:v>
                </c:pt>
              </c:numCache>
            </c:numRef>
          </c:xVal>
          <c:yVal>
            <c:numRef>
              <c:f>'Skogs teorem'!$I$30:$I$63</c:f>
              <c:numCache>
                <c:ptCount val="34"/>
                <c:pt idx="0">
                  <c:v>24.55984423328863</c:v>
                </c:pt>
                <c:pt idx="1">
                  <c:v>14.362152706393374</c:v>
                </c:pt>
                <c:pt idx="2">
                  <c:v>13.66789200047856</c:v>
                </c:pt>
                <c:pt idx="3">
                  <c:v>12.93920783644802</c:v>
                </c:pt>
                <c:pt idx="4">
                  <c:v>12.170407475104128</c:v>
                </c:pt>
                <c:pt idx="5">
                  <c:v>11.354031322113542</c:v>
                </c:pt>
                <c:pt idx="6">
                  <c:v>10.479974182905721</c:v>
                </c:pt>
                <c:pt idx="7">
                  <c:v>9.533949307073215</c:v>
                </c:pt>
                <c:pt idx="8">
                  <c:v>8.494571214499501</c:v>
                </c:pt>
                <c:pt idx="9">
                  <c:v>7.3271456677316</c:v>
                </c:pt>
                <c:pt idx="10">
                  <c:v>5.968020545859531</c:v>
                </c:pt>
                <c:pt idx="11">
                  <c:v>5.817320185344158</c:v>
                </c:pt>
                <c:pt idx="12">
                  <c:v>5.663235500910275</c:v>
                </c:pt>
                <c:pt idx="13">
                  <c:v>5.505527695657406</c:v>
                </c:pt>
                <c:pt idx="14">
                  <c:v>5.343928495119485</c:v>
                </c:pt>
                <c:pt idx="15">
                  <c:v>5.178134786569274</c:v>
                </c:pt>
                <c:pt idx="16">
                  <c:v>5.007801935730754</c:v>
                </c:pt>
                <c:pt idx="17">
                  <c:v>4.832535358738596</c:v>
                </c:pt>
                <c:pt idx="18">
                  <c:v>4.651879758090672</c:v>
                </c:pt>
                <c:pt idx="19">
                  <c:v>4.465305178815697</c:v>
                </c:pt>
                <c:pt idx="20">
                  <c:v>4.27218865540425</c:v>
                </c:pt>
                <c:pt idx="21">
                  <c:v>4.071789615278533</c:v>
                </c:pt>
                <c:pt idx="22">
                  <c:v>3.863216228236581</c:v>
                </c:pt>
                <c:pt idx="23">
                  <c:v>3.645378261222902</c:v>
                </c:pt>
                <c:pt idx="24">
                  <c:v>3.416919168367997</c:v>
                </c:pt>
                <c:pt idx="25">
                  <c:v>3.176115007477449</c:v>
                </c:pt>
                <c:pt idx="26">
                  <c:v>2.92071792414049</c:v>
                </c:pt>
                <c:pt idx="27">
                  <c:v>2.647701793780641</c:v>
                </c:pt>
                <c:pt idx="28">
                  <c:v>2.3528229278528556</c:v>
                </c:pt>
                <c:pt idx="29">
                  <c:v>2.0297989404532473</c:v>
                </c:pt>
                <c:pt idx="30">
                  <c:v>1.6685994907214763</c:v>
                </c:pt>
                <c:pt idx="31">
                  <c:v>1.2512846482794089</c:v>
                </c:pt>
                <c:pt idx="32">
                  <c:v>0.7389109315883502</c:v>
                </c:pt>
                <c:pt idx="33">
                  <c:v>-7.560174708487466E-12</c:v>
                </c:pt>
              </c:numCache>
            </c:numRef>
          </c:yVal>
          <c:smooth val="1"/>
        </c:ser>
        <c:ser>
          <c:idx val="1"/>
          <c:order val="1"/>
          <c:tx>
            <c:v>Ness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'Skogs teorem'!$B$76:$B$109</c:f>
              <c:numCache>
                <c:ptCount val="34"/>
                <c:pt idx="0">
                  <c:v>0</c:v>
                </c:pt>
                <c:pt idx="1">
                  <c:v>200</c:v>
                </c:pt>
                <c:pt idx="2">
                  <c:v>210</c:v>
                </c:pt>
                <c:pt idx="3">
                  <c:v>220</c:v>
                </c:pt>
                <c:pt idx="4">
                  <c:v>230</c:v>
                </c:pt>
                <c:pt idx="5">
                  <c:v>240</c:v>
                </c:pt>
                <c:pt idx="6">
                  <c:v>250</c:v>
                </c:pt>
                <c:pt idx="7">
                  <c:v>260</c:v>
                </c:pt>
                <c:pt idx="8">
                  <c:v>270</c:v>
                </c:pt>
                <c:pt idx="9">
                  <c:v>280</c:v>
                </c:pt>
                <c:pt idx="10">
                  <c:v>290</c:v>
                </c:pt>
                <c:pt idx="11">
                  <c:v>291</c:v>
                </c:pt>
                <c:pt idx="12">
                  <c:v>292</c:v>
                </c:pt>
                <c:pt idx="13">
                  <c:v>293</c:v>
                </c:pt>
                <c:pt idx="14">
                  <c:v>294</c:v>
                </c:pt>
                <c:pt idx="15">
                  <c:v>295</c:v>
                </c:pt>
                <c:pt idx="16">
                  <c:v>296</c:v>
                </c:pt>
                <c:pt idx="17">
                  <c:v>297</c:v>
                </c:pt>
                <c:pt idx="18">
                  <c:v>298</c:v>
                </c:pt>
                <c:pt idx="19">
                  <c:v>299</c:v>
                </c:pt>
                <c:pt idx="20">
                  <c:v>300</c:v>
                </c:pt>
                <c:pt idx="21">
                  <c:v>301</c:v>
                </c:pt>
                <c:pt idx="22">
                  <c:v>302</c:v>
                </c:pt>
                <c:pt idx="23">
                  <c:v>303</c:v>
                </c:pt>
                <c:pt idx="24">
                  <c:v>304</c:v>
                </c:pt>
                <c:pt idx="25">
                  <c:v>305</c:v>
                </c:pt>
                <c:pt idx="26">
                  <c:v>306</c:v>
                </c:pt>
                <c:pt idx="27">
                  <c:v>307</c:v>
                </c:pt>
                <c:pt idx="28">
                  <c:v>308</c:v>
                </c:pt>
                <c:pt idx="29">
                  <c:v>309</c:v>
                </c:pt>
                <c:pt idx="30">
                  <c:v>310</c:v>
                </c:pt>
                <c:pt idx="31">
                  <c:v>311</c:v>
                </c:pt>
                <c:pt idx="32">
                  <c:v>312</c:v>
                </c:pt>
                <c:pt idx="33">
                  <c:v>313</c:v>
                </c:pt>
              </c:numCache>
            </c:numRef>
          </c:xVal>
          <c:yVal>
            <c:numRef>
              <c:f>'Skogs teorem'!$I$76:$I$109</c:f>
              <c:numCache>
                <c:ptCount val="34"/>
                <c:pt idx="0">
                  <c:v>24.5483429304835</c:v>
                </c:pt>
                <c:pt idx="1">
                  <c:v>14.355616376530122</c:v>
                </c:pt>
                <c:pt idx="2">
                  <c:v>13.661692992056658</c:v>
                </c:pt>
                <c:pt idx="3">
                  <c:v>12.933362700400778</c:v>
                </c:pt>
                <c:pt idx="4">
                  <c:v>12.164935467334146</c:v>
                </c:pt>
                <c:pt idx="5">
                  <c:v>11.34895523178659</c:v>
                </c:pt>
                <c:pt idx="6">
                  <c:v>10.475321566278467</c:v>
                </c:pt>
                <c:pt idx="7">
                  <c:v>9.529754424514351</c:v>
                </c:pt>
                <c:pt idx="8">
                  <c:v>8.490878288773047</c:v>
                </c:pt>
                <c:pt idx="9">
                  <c:v>7.32401491194355</c:v>
                </c:pt>
                <c:pt idx="10">
                  <c:v>5.965541002944121</c:v>
                </c:pt>
                <c:pt idx="11">
                  <c:v>5.8149125480452994</c:v>
                </c:pt>
                <c:pt idx="12">
                  <c:v>5.660901306461767</c:v>
                </c:pt>
                <c:pt idx="13">
                  <c:v>5.503268584027978</c:v>
                </c:pt>
                <c:pt idx="14">
                  <c:v>5.341746220946732</c:v>
                </c:pt>
                <c:pt idx="15">
                  <c:v>5.17603123312972</c:v>
                </c:pt>
                <c:pt idx="16">
                  <c:v>5.005779131399834</c:v>
                </c:pt>
                <c:pt idx="17">
                  <c:v>4.830595496538365</c:v>
                </c:pt>
                <c:pt idx="18">
                  <c:v>4.650025219114525</c:v>
                </c:pt>
                <c:pt idx="19">
                  <c:v>4.463538560568054</c:v>
                </c:pt>
                <c:pt idx="20">
                  <c:v>4.270512806444799</c:v>
                </c:pt>
                <c:pt idx="21">
                  <c:v>4.070207678074098</c:v>
                </c:pt>
                <c:pt idx="22">
                  <c:v>3.861731692870535</c:v>
                </c:pt>
                <c:pt idx="23">
                  <c:v>3.6439950336983316</c:v>
                </c:pt>
                <c:pt idx="24">
                  <c:v>3.4156416588843967</c:v>
                </c:pt>
                <c:pt idx="25">
                  <c:v>3.174948246588656</c:v>
                </c:pt>
                <c:pt idx="26">
                  <c:v>2.919667718633548</c:v>
                </c:pt>
                <c:pt idx="27">
                  <c:v>2.6467749400808884</c:v>
                </c:pt>
                <c:pt idx="28">
                  <c:v>2.352027509410391</c:v>
                </c:pt>
                <c:pt idx="29">
                  <c:v>2.0291447439009858</c:v>
                </c:pt>
                <c:pt idx="30">
                  <c:v>1.668098558238512</c:v>
                </c:pt>
                <c:pt idx="31">
                  <c:v>1.2509517505175722</c:v>
                </c:pt>
                <c:pt idx="32">
                  <c:v>0.738761499129339</c:v>
                </c:pt>
                <c:pt idx="3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Ness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'Skogs teorem'!$B$122:$B$155</c:f>
              <c:numCache>
                <c:ptCount val="34"/>
                <c:pt idx="0">
                  <c:v>0</c:v>
                </c:pt>
                <c:pt idx="1">
                  <c:v>200</c:v>
                </c:pt>
                <c:pt idx="2">
                  <c:v>210</c:v>
                </c:pt>
                <c:pt idx="3">
                  <c:v>220</c:v>
                </c:pt>
                <c:pt idx="4">
                  <c:v>230</c:v>
                </c:pt>
                <c:pt idx="5">
                  <c:v>240</c:v>
                </c:pt>
                <c:pt idx="6">
                  <c:v>250</c:v>
                </c:pt>
                <c:pt idx="7">
                  <c:v>260</c:v>
                </c:pt>
                <c:pt idx="8">
                  <c:v>270</c:v>
                </c:pt>
                <c:pt idx="9">
                  <c:v>280</c:v>
                </c:pt>
                <c:pt idx="10">
                  <c:v>290</c:v>
                </c:pt>
                <c:pt idx="11">
                  <c:v>291</c:v>
                </c:pt>
                <c:pt idx="12">
                  <c:v>292</c:v>
                </c:pt>
                <c:pt idx="13">
                  <c:v>293</c:v>
                </c:pt>
                <c:pt idx="14">
                  <c:v>294</c:v>
                </c:pt>
                <c:pt idx="15">
                  <c:v>295</c:v>
                </c:pt>
                <c:pt idx="16">
                  <c:v>296</c:v>
                </c:pt>
                <c:pt idx="17">
                  <c:v>297</c:v>
                </c:pt>
                <c:pt idx="18">
                  <c:v>298</c:v>
                </c:pt>
                <c:pt idx="19">
                  <c:v>299</c:v>
                </c:pt>
                <c:pt idx="20">
                  <c:v>300</c:v>
                </c:pt>
                <c:pt idx="21">
                  <c:v>301</c:v>
                </c:pt>
                <c:pt idx="22">
                  <c:v>302</c:v>
                </c:pt>
                <c:pt idx="23">
                  <c:v>303</c:v>
                </c:pt>
                <c:pt idx="24">
                  <c:v>304</c:v>
                </c:pt>
                <c:pt idx="25">
                  <c:v>305</c:v>
                </c:pt>
                <c:pt idx="26">
                  <c:v>306</c:v>
                </c:pt>
                <c:pt idx="27">
                  <c:v>307</c:v>
                </c:pt>
                <c:pt idx="28">
                  <c:v>308</c:v>
                </c:pt>
                <c:pt idx="29">
                  <c:v>309</c:v>
                </c:pt>
                <c:pt idx="30">
                  <c:v>310</c:v>
                </c:pt>
                <c:pt idx="31">
                  <c:v>311</c:v>
                </c:pt>
                <c:pt idx="32">
                  <c:v>312</c:v>
                </c:pt>
                <c:pt idx="33">
                  <c:v>313</c:v>
                </c:pt>
              </c:numCache>
            </c:numRef>
          </c:xVal>
          <c:yVal>
            <c:numRef>
              <c:f>'Skogs teorem'!$I$122:$I$155</c:f>
              <c:numCache>
                <c:ptCount val="34"/>
                <c:pt idx="0">
                  <c:v>23.903040421089656</c:v>
                </c:pt>
                <c:pt idx="1">
                  <c:v>13.988591956527216</c:v>
                </c:pt>
                <c:pt idx="2">
                  <c:v>13.31357645731805</c:v>
                </c:pt>
                <c:pt idx="3">
                  <c:v>12.605082183528225</c:v>
                </c:pt>
                <c:pt idx="4">
                  <c:v>11.85757086291278</c:v>
                </c:pt>
                <c:pt idx="5">
                  <c:v>11.063784693838556</c:v>
                </c:pt>
                <c:pt idx="6">
                  <c:v>10.213890785863668</c:v>
                </c:pt>
                <c:pt idx="7">
                  <c:v>9.293985421443494</c:v>
                </c:pt>
                <c:pt idx="8">
                  <c:v>8.28325248140851</c:v>
                </c:pt>
                <c:pt idx="9">
                  <c:v>7.147911991629599</c:v>
                </c:pt>
                <c:pt idx="10">
                  <c:v>5.825961379733997</c:v>
                </c:pt>
                <c:pt idx="11">
                  <c:v>5.679366438700129</c:v>
                </c:pt>
                <c:pt idx="12">
                  <c:v>5.5294751176109</c:v>
                </c:pt>
                <c:pt idx="13">
                  <c:v>5.376054510072265</c:v>
                </c:pt>
                <c:pt idx="14">
                  <c:v>5.218842918401435</c:v>
                </c:pt>
                <c:pt idx="15">
                  <c:v>5.057544609902379</c:v>
                </c:pt>
                <c:pt idx="16">
                  <c:v>4.891823277363187</c:v>
                </c:pt>
                <c:pt idx="17">
                  <c:v>4.7212937894920515</c:v>
                </c:pt>
                <c:pt idx="18">
                  <c:v>4.545511650733545</c:v>
                </c:pt>
                <c:pt idx="19">
                  <c:v>4.363959341566897</c:v>
                </c:pt>
                <c:pt idx="20">
                  <c:v>4.1760283306417705</c:v>
                </c:pt>
                <c:pt idx="21">
                  <c:v>3.9809949543280254</c:v>
                </c:pt>
                <c:pt idx="22">
                  <c:v>3.7779873965401976</c:v>
                </c:pt>
                <c:pt idx="23">
                  <c:v>3.565939392562086</c:v>
                </c:pt>
                <c:pt idx="24">
                  <c:v>3.3435234843633452</c:v>
                </c:pt>
                <c:pt idx="25">
                  <c:v>3.1090515690936513</c:v>
                </c:pt>
                <c:pt idx="26">
                  <c:v>2.8603207173925966</c:v>
                </c:pt>
                <c:pt idx="27">
                  <c:v>2.5943622195669604</c:v>
                </c:pt>
                <c:pt idx="28">
                  <c:v>2.3070073115279115</c:v>
                </c:pt>
                <c:pt idx="29">
                  <c:v>1.9920732893149875</c:v>
                </c:pt>
                <c:pt idx="30">
                  <c:v>1.6396630999839203</c:v>
                </c:pt>
                <c:pt idx="31">
                  <c:v>1.2320020243186036</c:v>
                </c:pt>
                <c:pt idx="32">
                  <c:v>0.7302075219503195</c:v>
                </c:pt>
                <c:pt idx="33">
                  <c:v>0</c:v>
                </c:pt>
              </c:numCache>
            </c:numRef>
          </c:yVal>
          <c:smooth val="1"/>
        </c:ser>
        <c:axId val="42803513"/>
        <c:axId val="49687298"/>
      </c:scatterChart>
      <c:valAx>
        <c:axId val="42803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P-tubing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87298"/>
        <c:crosses val="autoZero"/>
        <c:crossBetween val="midCat"/>
        <c:dispUnits/>
      </c:valAx>
      <c:valAx>
        <c:axId val="496872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Dp-formasjon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035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DP-Punch vs q-punch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575"/>
          <c:w val="0.877"/>
          <c:h val="0.849"/>
        </c:manualLayout>
      </c:layout>
      <c:scatterChart>
        <c:scatterStyle val="smooth"/>
        <c:varyColors val="0"/>
        <c:ser>
          <c:idx val="2"/>
          <c:order val="0"/>
          <c:tx>
            <c:v>Ness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'Skogs teorem'!$H$76:$H$109</c:f>
              <c:numCache>
                <c:ptCount val="34"/>
                <c:pt idx="0">
                  <c:v>288.4516570695165</c:v>
                </c:pt>
                <c:pt idx="1">
                  <c:v>98.64438362346988</c:v>
                </c:pt>
                <c:pt idx="2">
                  <c:v>89.33830700794331</c:v>
                </c:pt>
                <c:pt idx="3">
                  <c:v>80.06663729959924</c:v>
                </c:pt>
                <c:pt idx="4">
                  <c:v>70.83506453266584</c:v>
                </c:pt>
                <c:pt idx="5">
                  <c:v>61.6510447682134</c:v>
                </c:pt>
                <c:pt idx="6">
                  <c:v>52.52467843372151</c:v>
                </c:pt>
                <c:pt idx="7">
                  <c:v>43.47024557548568</c:v>
                </c:pt>
                <c:pt idx="8">
                  <c:v>34.50912171122696</c:v>
                </c:pt>
                <c:pt idx="9">
                  <c:v>25.675985088056475</c:v>
                </c:pt>
                <c:pt idx="10">
                  <c:v>17.03445899705589</c:v>
                </c:pt>
                <c:pt idx="11">
                  <c:v>16.185087451954708</c:v>
                </c:pt>
                <c:pt idx="12">
                  <c:v>15.339098693538233</c:v>
                </c:pt>
                <c:pt idx="13">
                  <c:v>14.49673141597204</c:v>
                </c:pt>
                <c:pt idx="14">
                  <c:v>13.658253779053279</c:v>
                </c:pt>
                <c:pt idx="15">
                  <c:v>12.823968766870275</c:v>
                </c:pt>
                <c:pt idx="16">
                  <c:v>11.99422086860016</c:v>
                </c:pt>
                <c:pt idx="17">
                  <c:v>11.169404503461607</c:v>
                </c:pt>
                <c:pt idx="18">
                  <c:v>10.349974780885503</c:v>
                </c:pt>
                <c:pt idx="19">
                  <c:v>9.536461439431942</c:v>
                </c:pt>
                <c:pt idx="20">
                  <c:v>8.7294871935552</c:v>
                </c:pt>
                <c:pt idx="21">
                  <c:v>7.929792321925908</c:v>
                </c:pt>
                <c:pt idx="22">
                  <c:v>7.138268307129443</c:v>
                </c:pt>
                <c:pt idx="23">
                  <c:v>6.356004966301657</c:v>
                </c:pt>
                <c:pt idx="24">
                  <c:v>5.5843583411156015</c:v>
                </c:pt>
                <c:pt idx="25">
                  <c:v>4.825051753411367</c:v>
                </c:pt>
                <c:pt idx="26">
                  <c:v>4.080332281366438</c:v>
                </c:pt>
                <c:pt idx="27">
                  <c:v>3.3532250599191338</c:v>
                </c:pt>
                <c:pt idx="28">
                  <c:v>2.6479724905896185</c:v>
                </c:pt>
                <c:pt idx="29">
                  <c:v>1.9708552560989931</c:v>
                </c:pt>
                <c:pt idx="30">
                  <c:v>1.3319014417614787</c:v>
                </c:pt>
                <c:pt idx="31">
                  <c:v>0.749048249482438</c:v>
                </c:pt>
                <c:pt idx="32">
                  <c:v>0.2612385008706525</c:v>
                </c:pt>
                <c:pt idx="33">
                  <c:v>0</c:v>
                </c:pt>
              </c:numCache>
            </c:numRef>
          </c:xVal>
          <c:yVal>
            <c:numRef>
              <c:f>'Skogs teorem'!$J$30:$J$63</c:f>
              <c:numCache>
                <c:ptCount val="34"/>
                <c:pt idx="0">
                  <c:v>0.3125582024498051</c:v>
                </c:pt>
                <c:pt idx="1">
                  <c:v>0.18277838371366664</c:v>
                </c:pt>
                <c:pt idx="2">
                  <c:v>0.17394294989694312</c:v>
                </c:pt>
                <c:pt idx="3">
                  <c:v>0.16466942966205803</c:v>
                </c:pt>
                <c:pt idx="4">
                  <c:v>0.15488537497906021</c:v>
                </c:pt>
                <c:pt idx="5">
                  <c:v>0.14449585212712865</c:v>
                </c:pt>
                <c:pt idx="6">
                  <c:v>0.13337225844004288</c:v>
                </c:pt>
                <c:pt idx="7">
                  <c:v>0.12133277513329507</c:v>
                </c:pt>
                <c:pt idx="8">
                  <c:v>0.10810524220618366</c:v>
                </c:pt>
                <c:pt idx="9">
                  <c:v>0.09324812719658675</c:v>
                </c:pt>
                <c:pt idx="10">
                  <c:v>0.07595136826922698</c:v>
                </c:pt>
                <c:pt idx="11">
                  <c:v>0.07403349642346906</c:v>
                </c:pt>
                <c:pt idx="12">
                  <c:v>0.07207255434524462</c:v>
                </c:pt>
                <c:pt idx="13">
                  <c:v>0.07006550301161536</c:v>
                </c:pt>
                <c:pt idx="14">
                  <c:v>0.06800892825659331</c:v>
                </c:pt>
                <c:pt idx="15">
                  <c:v>0.06589897254882433</c:v>
                </c:pt>
                <c:pt idx="16">
                  <c:v>0.06373124993745416</c:v>
                </c:pt>
                <c:pt idx="17">
                  <c:v>0.061500738793578515</c:v>
                </c:pt>
                <c:pt idx="18">
                  <c:v>0.0592016448227596</c:v>
                </c:pt>
                <c:pt idx="19">
                  <c:v>0.056827223610349524</c:v>
                </c:pt>
                <c:pt idx="20">
                  <c:v>0.054369547053140725</c:v>
                </c:pt>
                <c:pt idx="21">
                  <c:v>0.051819190334287286</c:v>
                </c:pt>
                <c:pt idx="22">
                  <c:v>0.04916480367314038</c:v>
                </c:pt>
                <c:pt idx="23">
                  <c:v>0.04639251233658419</c:v>
                </c:pt>
                <c:pt idx="24">
                  <c:v>0.04348505239026803</c:v>
                </c:pt>
                <c:pt idx="25">
                  <c:v>0.04042048427023223</c:v>
                </c:pt>
                <c:pt idx="26">
                  <c:v>0.037170200900335376</c:v>
                </c:pt>
                <c:pt idx="27">
                  <c:v>0.03369569063331079</c:v>
                </c:pt>
                <c:pt idx="28">
                  <c:v>0.029942946625680134</c:v>
                </c:pt>
                <c:pt idx="29">
                  <c:v>0.025832016772430483</c:v>
                </c:pt>
                <c:pt idx="30">
                  <c:v>0.02123525102499124</c:v>
                </c:pt>
                <c:pt idx="31">
                  <c:v>0.015924338798905965</c:v>
                </c:pt>
                <c:pt idx="32">
                  <c:v>0.00940367008658491</c:v>
                </c:pt>
                <c:pt idx="33">
                  <c:v>-9.624129360547381E-14</c:v>
                </c:pt>
              </c:numCache>
            </c:numRef>
          </c:yVal>
          <c:smooth val="1"/>
        </c:ser>
        <c:ser>
          <c:idx val="0"/>
          <c:order val="1"/>
          <c:tx>
            <c:v>Ness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'Skogs teorem'!$H$76:$H$109</c:f>
              <c:numCache>
                <c:ptCount val="34"/>
                <c:pt idx="0">
                  <c:v>288.4516570695165</c:v>
                </c:pt>
                <c:pt idx="1">
                  <c:v>98.64438362346988</c:v>
                </c:pt>
                <c:pt idx="2">
                  <c:v>89.33830700794331</c:v>
                </c:pt>
                <c:pt idx="3">
                  <c:v>80.06663729959924</c:v>
                </c:pt>
                <c:pt idx="4">
                  <c:v>70.83506453266584</c:v>
                </c:pt>
                <c:pt idx="5">
                  <c:v>61.6510447682134</c:v>
                </c:pt>
                <c:pt idx="6">
                  <c:v>52.52467843372151</c:v>
                </c:pt>
                <c:pt idx="7">
                  <c:v>43.47024557548568</c:v>
                </c:pt>
                <c:pt idx="8">
                  <c:v>34.50912171122696</c:v>
                </c:pt>
                <c:pt idx="9">
                  <c:v>25.675985088056475</c:v>
                </c:pt>
                <c:pt idx="10">
                  <c:v>17.03445899705589</c:v>
                </c:pt>
                <c:pt idx="11">
                  <c:v>16.185087451954708</c:v>
                </c:pt>
                <c:pt idx="12">
                  <c:v>15.339098693538233</c:v>
                </c:pt>
                <c:pt idx="13">
                  <c:v>14.49673141597204</c:v>
                </c:pt>
                <c:pt idx="14">
                  <c:v>13.658253779053279</c:v>
                </c:pt>
                <c:pt idx="15">
                  <c:v>12.823968766870275</c:v>
                </c:pt>
                <c:pt idx="16">
                  <c:v>11.99422086860016</c:v>
                </c:pt>
                <c:pt idx="17">
                  <c:v>11.169404503461607</c:v>
                </c:pt>
                <c:pt idx="18">
                  <c:v>10.349974780885503</c:v>
                </c:pt>
                <c:pt idx="19">
                  <c:v>9.536461439431942</c:v>
                </c:pt>
                <c:pt idx="20">
                  <c:v>8.7294871935552</c:v>
                </c:pt>
                <c:pt idx="21">
                  <c:v>7.929792321925908</c:v>
                </c:pt>
                <c:pt idx="22">
                  <c:v>7.138268307129443</c:v>
                </c:pt>
                <c:pt idx="23">
                  <c:v>6.356004966301657</c:v>
                </c:pt>
                <c:pt idx="24">
                  <c:v>5.5843583411156015</c:v>
                </c:pt>
                <c:pt idx="25">
                  <c:v>4.825051753411367</c:v>
                </c:pt>
                <c:pt idx="26">
                  <c:v>4.080332281366438</c:v>
                </c:pt>
                <c:pt idx="27">
                  <c:v>3.3532250599191338</c:v>
                </c:pt>
                <c:pt idx="28">
                  <c:v>2.6479724905896185</c:v>
                </c:pt>
                <c:pt idx="29">
                  <c:v>1.9708552560989931</c:v>
                </c:pt>
                <c:pt idx="30">
                  <c:v>1.3319014417614787</c:v>
                </c:pt>
                <c:pt idx="31">
                  <c:v>0.749048249482438</c:v>
                </c:pt>
                <c:pt idx="32">
                  <c:v>0.2612385008706525</c:v>
                </c:pt>
                <c:pt idx="33">
                  <c:v>0</c:v>
                </c:pt>
              </c:numCache>
            </c:numRef>
          </c:xVal>
          <c:yVal>
            <c:numRef>
              <c:f>'Skogs teorem'!$J$76:$J$109</c:f>
              <c:numCache>
                <c:ptCount val="34"/>
                <c:pt idx="0">
                  <c:v>0.14846822096950982</c:v>
                </c:pt>
                <c:pt idx="1">
                  <c:v>0.08682267598997596</c:v>
                </c:pt>
                <c:pt idx="2">
                  <c:v>0.08262583180079129</c:v>
                </c:pt>
                <c:pt idx="3">
                  <c:v>0.07822089485712164</c:v>
                </c:pt>
                <c:pt idx="4">
                  <c:v>0.07357345186836292</c:v>
                </c:pt>
                <c:pt idx="5">
                  <c:v>0.06863840862487</c:v>
                </c:pt>
                <c:pt idx="6">
                  <c:v>0.06335467780587474</c:v>
                </c:pt>
                <c:pt idx="7">
                  <c:v>0.05763589378275352</c:v>
                </c:pt>
                <c:pt idx="8">
                  <c:v>0.05135277756110191</c:v>
                </c:pt>
                <c:pt idx="9">
                  <c:v>0.044295595324282795</c:v>
                </c:pt>
                <c:pt idx="10">
                  <c:v>0.03607955381493167</c:v>
                </c:pt>
                <c:pt idx="11">
                  <c:v>0.035168553883508875</c:v>
                </c:pt>
                <c:pt idx="12">
                  <c:v>0.03423709487986194</c:v>
                </c:pt>
                <c:pt idx="13">
                  <c:v>0.03328373318320478</c:v>
                </c:pt>
                <c:pt idx="14">
                  <c:v>0.03230684696480004</c:v>
                </c:pt>
                <c:pt idx="15">
                  <c:v>0.031304603778820196</c:v>
                </c:pt>
                <c:pt idx="16">
                  <c:v>0.030274920156926205</c:v>
                </c:pt>
                <c:pt idx="17">
                  <c:v>0.02921541065420724</c:v>
                </c:pt>
                <c:pt idx="18">
                  <c:v>0.02812332277173734</c:v>
                </c:pt>
                <c:pt idx="19">
                  <c:v>0.026995452654094615</c:v>
                </c:pt>
                <c:pt idx="20">
                  <c:v>0.02582803412824411</c:v>
                </c:pt>
                <c:pt idx="21">
                  <c:v>0.024616589993522515</c:v>
                </c:pt>
                <c:pt idx="22">
                  <c:v>0.023355728568957717</c:v>
                </c:pt>
                <c:pt idx="23">
                  <c:v>0.022038858647485324</c:v>
                </c:pt>
                <c:pt idx="24">
                  <c:v>0.020657778897743447</c:v>
                </c:pt>
                <c:pt idx="25">
                  <c:v>0.019202066680269986</c:v>
                </c:pt>
                <c:pt idx="26">
                  <c:v>0.017658131680625595</c:v>
                </c:pt>
                <c:pt idx="27">
                  <c:v>0.01600767790205981</c:v>
                </c:pt>
                <c:pt idx="28">
                  <c:v>0.014225047327323949</c:v>
                </c:pt>
                <c:pt idx="29">
                  <c:v>0.012272254427508124</c:v>
                </c:pt>
                <c:pt idx="30">
                  <c:v>0.01008864940679723</c:v>
                </c:pt>
                <c:pt idx="31">
                  <c:v>0.007565748182839905</c:v>
                </c:pt>
                <c:pt idx="32">
                  <c:v>0.004468024819724234</c:v>
                </c:pt>
                <c:pt idx="33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Ness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'Skogs teorem'!$H$122:$H$155</c:f>
              <c:numCache>
                <c:ptCount val="34"/>
                <c:pt idx="0">
                  <c:v>289.09695957891034</c:v>
                </c:pt>
                <c:pt idx="1">
                  <c:v>99.01140804347277</c:v>
                </c:pt>
                <c:pt idx="2">
                  <c:v>89.68642354268196</c:v>
                </c:pt>
                <c:pt idx="3">
                  <c:v>80.39491781647176</c:v>
                </c:pt>
                <c:pt idx="4">
                  <c:v>71.1424291370872</c:v>
                </c:pt>
                <c:pt idx="5">
                  <c:v>61.93621530616146</c:v>
                </c:pt>
                <c:pt idx="6">
                  <c:v>52.78610921413634</c:v>
                </c:pt>
                <c:pt idx="7">
                  <c:v>43.70601457855653</c:v>
                </c:pt>
                <c:pt idx="8">
                  <c:v>34.71674751859147</c:v>
                </c:pt>
                <c:pt idx="9">
                  <c:v>25.852088008370398</c:v>
                </c:pt>
                <c:pt idx="10">
                  <c:v>17.17403862026602</c:v>
                </c:pt>
                <c:pt idx="11">
                  <c:v>16.32063356129989</c:v>
                </c:pt>
                <c:pt idx="12">
                  <c:v>15.470524882389084</c:v>
                </c:pt>
                <c:pt idx="13">
                  <c:v>14.623945489927754</c:v>
                </c:pt>
                <c:pt idx="14">
                  <c:v>13.781157081598565</c:v>
                </c:pt>
                <c:pt idx="15">
                  <c:v>12.942455390097647</c:v>
                </c:pt>
                <c:pt idx="16">
                  <c:v>12.108176722636818</c:v>
                </c:pt>
                <c:pt idx="17">
                  <c:v>11.278706210507936</c:v>
                </c:pt>
                <c:pt idx="18">
                  <c:v>10.454488349266462</c:v>
                </c:pt>
                <c:pt idx="19">
                  <c:v>9.636040658433101</c:v>
                </c:pt>
                <c:pt idx="20">
                  <c:v>8.823971669358238</c:v>
                </c:pt>
                <c:pt idx="21">
                  <c:v>8.019005045671985</c:v>
                </c:pt>
                <c:pt idx="22">
                  <c:v>7.222012603459805</c:v>
                </c:pt>
                <c:pt idx="23">
                  <c:v>6.434060607437901</c:v>
                </c:pt>
                <c:pt idx="24">
                  <c:v>5.656476515636631</c:v>
                </c:pt>
                <c:pt idx="25">
                  <c:v>4.890948430906348</c:v>
                </c:pt>
                <c:pt idx="26">
                  <c:v>4.139679282607399</c:v>
                </c:pt>
                <c:pt idx="27">
                  <c:v>3.4056377804330364</c:v>
                </c:pt>
                <c:pt idx="28">
                  <c:v>2.6929926884720845</c:v>
                </c:pt>
                <c:pt idx="29">
                  <c:v>2.007926710685007</c:v>
                </c:pt>
                <c:pt idx="30">
                  <c:v>1.3603369000160694</c:v>
                </c:pt>
                <c:pt idx="31">
                  <c:v>0.7679979756814241</c:v>
                </c:pt>
                <c:pt idx="32">
                  <c:v>0.2697924780496582</c:v>
                </c:pt>
                <c:pt idx="33">
                  <c:v>0</c:v>
                </c:pt>
              </c:numCache>
            </c:numRef>
          </c:xVal>
          <c:yVal>
            <c:numRef>
              <c:f>'Skogs teorem'!$J$122:$J$155</c:f>
              <c:numCache>
                <c:ptCount val="34"/>
                <c:pt idx="0">
                  <c:v>0.10169747104859626</c:v>
                </c:pt>
                <c:pt idx="1">
                  <c:v>0.05951562648299718</c:v>
                </c:pt>
                <c:pt idx="2">
                  <c:v>0.05664371696944366</c:v>
                </c:pt>
                <c:pt idx="3">
                  <c:v>0.05362936922842317</c:v>
                </c:pt>
                <c:pt idx="4">
                  <c:v>0.05044902022061599</c:v>
                </c:pt>
                <c:pt idx="5">
                  <c:v>0.04707179102608305</c:v>
                </c:pt>
                <c:pt idx="6">
                  <c:v>0.04345584679564134</c:v>
                </c:pt>
                <c:pt idx="7">
                  <c:v>0.03954203300804343</c:v>
                </c:pt>
                <c:pt idx="8">
                  <c:v>0.035241785755130144</c:v>
                </c:pt>
                <c:pt idx="9">
                  <c:v>0.030411385330934727</c:v>
                </c:pt>
                <c:pt idx="10">
                  <c:v>0.02478703664086961</c:v>
                </c:pt>
                <c:pt idx="11">
                  <c:v>0.024163336286896687</c:v>
                </c:pt>
                <c:pt idx="12">
                  <c:v>0.02352561121015479</c:v>
                </c:pt>
                <c:pt idx="13">
                  <c:v>0.02287287049104293</c:v>
                </c:pt>
                <c:pt idx="14">
                  <c:v>0.02220400071503151</c:v>
                </c:pt>
                <c:pt idx="15">
                  <c:v>0.02151774366279894</c:v>
                </c:pt>
                <c:pt idx="16">
                  <c:v>0.020812668487376177</c:v>
                </c:pt>
                <c:pt idx="17">
                  <c:v>0.02008713661568994</c:v>
                </c:pt>
                <c:pt idx="18">
                  <c:v>0.019339256904476177</c:v>
                </c:pt>
                <c:pt idx="19">
                  <c:v>0.01856682752394474</c:v>
                </c:pt>
                <c:pt idx="20">
                  <c:v>0.017767259426915965</c:v>
                </c:pt>
                <c:pt idx="21">
                  <c:v>0.01693747372636227</c:v>
                </c:pt>
                <c:pt idx="22">
                  <c:v>0.016073761208328048</c:v>
                </c:pt>
                <c:pt idx="23">
                  <c:v>0.015171585361005777</c:v>
                </c:pt>
                <c:pt idx="24">
                  <c:v>0.014225298403936054</c:v>
                </c:pt>
                <c:pt idx="25">
                  <c:v>0.013227718163314764</c:v>
                </c:pt>
                <c:pt idx="26">
                  <c:v>0.012169472093185448</c:v>
                </c:pt>
                <c:pt idx="27">
                  <c:v>0.011037929571553468</c:v>
                </c:pt>
                <c:pt idx="28">
                  <c:v>0.009815354245312147</c:v>
                </c:pt>
                <c:pt idx="29">
                  <c:v>0.008475441286877019</c:v>
                </c:pt>
                <c:pt idx="30">
                  <c:v>0.0069760828623686</c:v>
                </c:pt>
                <c:pt idx="31">
                  <c:v>0.005241654952371905</c:v>
                </c:pt>
                <c:pt idx="32">
                  <c:v>0.0031067285589950434</c:v>
                </c:pt>
                <c:pt idx="33">
                  <c:v>0</c:v>
                </c:pt>
              </c:numCache>
            </c:numRef>
          </c:yVal>
          <c:smooth val="1"/>
        </c:ser>
        <c:axId val="44532499"/>
        <c:axId val="65248172"/>
      </c:scatterChart>
      <c:valAx>
        <c:axId val="44532499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48172"/>
        <c:crosses val="autoZero"/>
        <c:crossBetween val="midCat"/>
        <c:dispUnits/>
        <c:majorUnit val="100"/>
        <c:minorUnit val="1"/>
      </c:valAx>
      <c:valAx>
        <c:axId val="652481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324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5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86900" cy="4943475"/>
    <xdr:graphicFrame>
      <xdr:nvGraphicFramePr>
        <xdr:cNvPr id="1" name="Shape 1025"/>
        <xdr:cNvGraphicFramePr/>
      </xdr:nvGraphicFramePr>
      <xdr:xfrm>
        <a:off x="0" y="0"/>
        <a:ext cx="94869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86900" cy="4943475"/>
    <xdr:graphicFrame>
      <xdr:nvGraphicFramePr>
        <xdr:cNvPr id="1" name="Shape 1025"/>
        <xdr:cNvGraphicFramePr/>
      </xdr:nvGraphicFramePr>
      <xdr:xfrm>
        <a:off x="0" y="0"/>
        <a:ext cx="94869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86900" cy="4943475"/>
    <xdr:graphicFrame>
      <xdr:nvGraphicFramePr>
        <xdr:cNvPr id="1" name="Shape 1025"/>
        <xdr:cNvGraphicFramePr/>
      </xdr:nvGraphicFramePr>
      <xdr:xfrm>
        <a:off x="0" y="0"/>
        <a:ext cx="94869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86900" cy="4943475"/>
    <xdr:graphicFrame>
      <xdr:nvGraphicFramePr>
        <xdr:cNvPr id="1" name="Shape 1025"/>
        <xdr:cNvGraphicFramePr/>
      </xdr:nvGraphicFramePr>
      <xdr:xfrm>
        <a:off x="0" y="0"/>
        <a:ext cx="94869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409575</xdr:colOff>
      <xdr:row>0</xdr:row>
      <xdr:rowOff>209550</xdr:rowOff>
    </xdr:from>
    <xdr:to>
      <xdr:col>14</xdr:col>
      <xdr:colOff>561975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09550"/>
          <a:ext cx="3600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64</xdr:row>
      <xdr:rowOff>19050</xdr:rowOff>
    </xdr:from>
    <xdr:to>
      <xdr:col>14</xdr:col>
      <xdr:colOff>409575</xdr:colOff>
      <xdr:row>72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725150"/>
          <a:ext cx="3600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109</xdr:row>
      <xdr:rowOff>66675</xdr:rowOff>
    </xdr:from>
    <xdr:to>
      <xdr:col>14</xdr:col>
      <xdr:colOff>438150</xdr:colOff>
      <xdr:row>118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18211800"/>
          <a:ext cx="3600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156</xdr:row>
      <xdr:rowOff>0</xdr:rowOff>
    </xdr:from>
    <xdr:to>
      <xdr:col>14</xdr:col>
      <xdr:colOff>466725</xdr:colOff>
      <xdr:row>163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25908000"/>
          <a:ext cx="3600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86900" cy="4943475"/>
    <xdr:graphicFrame>
      <xdr:nvGraphicFramePr>
        <xdr:cNvPr id="1" name="Shape 1025"/>
        <xdr:cNvGraphicFramePr/>
      </xdr:nvGraphicFramePr>
      <xdr:xfrm>
        <a:off x="0" y="0"/>
        <a:ext cx="94869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">
      <selection activeCell="A4" sqref="A4"/>
    </sheetView>
  </sheetViews>
  <sheetFormatPr defaultColWidth="9.140625" defaultRowHeight="12.75"/>
  <cols>
    <col min="1" max="1" width="13.7109375" style="0" customWidth="1"/>
    <col min="12" max="12" width="10.8515625" style="0" customWidth="1"/>
    <col min="13" max="13" width="13.28125" style="0" bestFit="1" customWidth="1"/>
    <col min="14" max="14" width="12.57421875" style="0" bestFit="1" customWidth="1"/>
  </cols>
  <sheetData>
    <row r="1" spans="1:9" ht="23.25">
      <c r="A1" s="101" t="s">
        <v>147</v>
      </c>
      <c r="C1" s="23"/>
      <c r="D1" s="23"/>
      <c r="E1" s="23"/>
      <c r="F1" s="23"/>
      <c r="G1" s="23"/>
      <c r="H1" s="23"/>
      <c r="I1" s="23"/>
    </row>
    <row r="2" spans="1:9" ht="12.75">
      <c r="A2" s="23"/>
      <c r="C2" s="23"/>
      <c r="D2" s="23"/>
      <c r="E2" s="23"/>
      <c r="F2" s="23"/>
      <c r="G2" s="23"/>
      <c r="H2" s="23"/>
      <c r="I2" s="23"/>
    </row>
    <row r="3" spans="1:8" ht="12.75">
      <c r="A3" s="23"/>
      <c r="B3" s="23"/>
      <c r="C3" s="23"/>
      <c r="D3" s="23"/>
      <c r="E3" s="23"/>
      <c r="F3" s="23"/>
      <c r="G3" s="23"/>
      <c r="H3" s="23"/>
    </row>
    <row r="4" spans="1:8" ht="12.75">
      <c r="A4" s="23"/>
      <c r="B4" s="23" t="s">
        <v>136</v>
      </c>
      <c r="C4" s="23" t="s">
        <v>138</v>
      </c>
      <c r="D4" s="23" t="s">
        <v>137</v>
      </c>
      <c r="E4" s="23"/>
      <c r="F4" s="23"/>
      <c r="G4" s="23"/>
      <c r="H4" s="23"/>
    </row>
    <row r="5" spans="1:8" ht="12.75">
      <c r="A5" s="102" t="s">
        <v>148</v>
      </c>
      <c r="B5" s="23"/>
      <c r="C5" s="23"/>
      <c r="D5" s="23"/>
      <c r="E5" s="23"/>
      <c r="F5" s="23"/>
      <c r="G5" s="23"/>
      <c r="H5" s="23"/>
    </row>
    <row r="6" spans="1:8" ht="12.75">
      <c r="A6" s="102" t="s">
        <v>34</v>
      </c>
      <c r="B6" s="23"/>
      <c r="C6" s="23"/>
      <c r="D6" s="23"/>
      <c r="E6" s="23"/>
      <c r="F6" s="23"/>
      <c r="G6" s="23"/>
      <c r="H6" s="23"/>
    </row>
    <row r="7" spans="1:8" ht="12.75">
      <c r="A7" s="102" t="s">
        <v>149</v>
      </c>
      <c r="B7" s="23"/>
      <c r="C7" s="23"/>
      <c r="D7" s="23"/>
      <c r="E7" s="23"/>
      <c r="F7" s="23"/>
      <c r="G7" s="23"/>
      <c r="H7" s="23"/>
    </row>
    <row r="8" spans="1:8" ht="12.75">
      <c r="A8" s="102" t="s">
        <v>150</v>
      </c>
      <c r="B8" s="23"/>
      <c r="C8" s="23"/>
      <c r="D8" s="23"/>
      <c r="E8" s="23"/>
      <c r="F8" s="23"/>
      <c r="G8" s="23"/>
      <c r="H8" s="23"/>
    </row>
    <row r="9" spans="1:8" ht="12.75">
      <c r="A9" s="102" t="s">
        <v>88</v>
      </c>
      <c r="B9" s="23"/>
      <c r="C9" s="23"/>
      <c r="D9" s="23"/>
      <c r="E9" s="23"/>
      <c r="F9" s="23"/>
      <c r="G9" s="23"/>
      <c r="H9" s="23"/>
    </row>
    <row r="10" spans="1:8" ht="12.75">
      <c r="A10" s="102" t="s">
        <v>119</v>
      </c>
      <c r="B10" s="23"/>
      <c r="C10" s="23"/>
      <c r="D10" s="23"/>
      <c r="E10" s="23"/>
      <c r="F10" s="23"/>
      <c r="G10" s="23"/>
      <c r="H10" s="23"/>
    </row>
    <row r="11" spans="1:8" ht="12.75">
      <c r="A11" s="102"/>
      <c r="B11" s="23"/>
      <c r="C11" s="23"/>
      <c r="D11" s="23"/>
      <c r="E11" s="23"/>
      <c r="F11" s="23"/>
      <c r="G11" s="23"/>
      <c r="H11" s="23"/>
    </row>
    <row r="12" spans="1:8" ht="12.75">
      <c r="A12" s="102"/>
      <c r="B12" s="23"/>
      <c r="C12" s="23"/>
      <c r="D12" s="23"/>
      <c r="E12" s="23"/>
      <c r="F12" s="23"/>
      <c r="G12" s="23"/>
      <c r="H12" s="23"/>
    </row>
    <row r="13" spans="1:8" ht="12.75">
      <c r="A13" s="102"/>
      <c r="B13" s="23"/>
      <c r="C13" s="23"/>
      <c r="D13" s="23"/>
      <c r="E13" s="23"/>
      <c r="F13" s="23"/>
      <c r="G13" s="23"/>
      <c r="H13" s="23"/>
    </row>
    <row r="14" spans="1:8" ht="12.75">
      <c r="A14" s="102"/>
      <c r="B14" s="23"/>
      <c r="C14" s="23"/>
      <c r="D14" s="23"/>
      <c r="E14" s="23"/>
      <c r="F14" s="23"/>
      <c r="G14" s="23"/>
      <c r="H14" s="23"/>
    </row>
    <row r="15" spans="1:8" ht="12.75">
      <c r="A15" s="102"/>
      <c r="B15" s="23"/>
      <c r="C15" s="23"/>
      <c r="D15" s="23"/>
      <c r="E15" s="23"/>
      <c r="F15" s="23"/>
      <c r="G15" s="23"/>
      <c r="H15" s="23"/>
    </row>
    <row r="16" spans="1:8" ht="12.75">
      <c r="A16" s="102"/>
      <c r="B16" s="23"/>
      <c r="C16" s="23"/>
      <c r="D16" s="23"/>
      <c r="E16" s="23"/>
      <c r="F16" s="23"/>
      <c r="G16" s="23"/>
      <c r="H16" s="23"/>
    </row>
    <row r="17" spans="1:8" ht="12.75">
      <c r="A17" s="102"/>
      <c r="B17" s="23"/>
      <c r="C17" s="23"/>
      <c r="D17" s="23"/>
      <c r="E17" s="23"/>
      <c r="F17" s="23"/>
      <c r="G17" s="23"/>
      <c r="H17" s="23"/>
    </row>
    <row r="18" spans="1:8" ht="12.75">
      <c r="A18" s="102"/>
      <c r="B18" s="23"/>
      <c r="C18" s="23"/>
      <c r="D18" s="23"/>
      <c r="E18" s="23"/>
      <c r="F18" s="23"/>
      <c r="G18" s="23"/>
      <c r="H18" s="23"/>
    </row>
    <row r="19" spans="1:8" ht="12.75">
      <c r="A19" s="23"/>
      <c r="B19" s="23"/>
      <c r="C19" s="23"/>
      <c r="D19" s="23"/>
      <c r="E19" s="23"/>
      <c r="F19" s="23"/>
      <c r="G19" s="23"/>
      <c r="H19" s="23"/>
    </row>
    <row r="20" spans="1:8" ht="12.75">
      <c r="A20" s="23"/>
      <c r="B20" s="23"/>
      <c r="C20" s="23"/>
      <c r="D20" s="23"/>
      <c r="E20" s="23"/>
      <c r="F20" s="23"/>
      <c r="G20" s="23"/>
      <c r="H20" s="23"/>
    </row>
    <row r="21" spans="1:8" ht="12.75">
      <c r="A21" s="23"/>
      <c r="B21" s="23"/>
      <c r="C21" s="23"/>
      <c r="D21" s="23"/>
      <c r="E21" s="23"/>
      <c r="F21" s="23"/>
      <c r="G21" s="23"/>
      <c r="H21" s="23"/>
    </row>
    <row r="22" spans="1:8" ht="12.75">
      <c r="A22" s="23"/>
      <c r="B22" s="23"/>
      <c r="C22" s="23"/>
      <c r="D22" s="23"/>
      <c r="E22" s="23"/>
      <c r="F22" s="23"/>
      <c r="G22" s="23"/>
      <c r="H22" s="23"/>
    </row>
    <row r="23" spans="1:8" ht="12.75">
      <c r="A23" s="23"/>
      <c r="B23" s="23"/>
      <c r="C23" s="23"/>
      <c r="D23" s="23"/>
      <c r="E23" s="23"/>
      <c r="F23" s="23"/>
      <c r="G23" s="23"/>
      <c r="H23" s="23"/>
    </row>
    <row r="24" spans="1:8" ht="12.75">
      <c r="A24" s="23"/>
      <c r="B24" s="23"/>
      <c r="C24" s="23"/>
      <c r="D24" s="23"/>
      <c r="E24" s="23"/>
      <c r="F24" s="23"/>
      <c r="G24" s="23"/>
      <c r="H24" s="23"/>
    </row>
    <row r="25" spans="1:8" ht="12.75">
      <c r="A25" s="23"/>
      <c r="B25" s="23"/>
      <c r="C25" s="23"/>
      <c r="D25" s="23"/>
      <c r="E25" s="23"/>
      <c r="F25" s="23"/>
      <c r="G25" s="23"/>
      <c r="H25" s="23"/>
    </row>
    <row r="26" spans="1:8" ht="12.75">
      <c r="A26" s="23"/>
      <c r="B26" s="23"/>
      <c r="C26" s="23"/>
      <c r="D26" s="23"/>
      <c r="E26" s="23"/>
      <c r="F26" s="23"/>
      <c r="G26" s="23"/>
      <c r="H26" s="23"/>
    </row>
    <row r="27" spans="1:8" ht="12.75">
      <c r="A27" s="23"/>
      <c r="B27" s="23"/>
      <c r="C27" s="23"/>
      <c r="D27" s="23"/>
      <c r="E27" s="23"/>
      <c r="F27" s="23"/>
      <c r="G27" s="23"/>
      <c r="H27" s="23"/>
    </row>
    <row r="28" spans="1:8" ht="12.75">
      <c r="A28" s="23"/>
      <c r="B28" s="23"/>
      <c r="C28" s="23"/>
      <c r="D28" s="23"/>
      <c r="E28" s="23"/>
      <c r="F28" s="23"/>
      <c r="G28" s="23"/>
      <c r="H28" s="23"/>
    </row>
    <row r="29" spans="1:8" ht="12.75">
      <c r="A29" s="23"/>
      <c r="B29" s="23"/>
      <c r="C29" s="23"/>
      <c r="D29" s="23"/>
      <c r="E29" s="23"/>
      <c r="F29" s="23"/>
      <c r="G29" s="23"/>
      <c r="H29" s="23"/>
    </row>
    <row r="30" spans="1:8" ht="12.75">
      <c r="A30" s="23"/>
      <c r="B30" s="23"/>
      <c r="C30" s="23"/>
      <c r="D30" s="23"/>
      <c r="E30" s="23"/>
      <c r="F30" s="23"/>
      <c r="G30" s="23"/>
      <c r="H30" s="23"/>
    </row>
    <row r="31" spans="1:8" ht="12.75">
      <c r="A31" s="23"/>
      <c r="B31" s="23"/>
      <c r="C31" s="23"/>
      <c r="D31" s="23"/>
      <c r="E31" s="23"/>
      <c r="F31" s="23"/>
      <c r="G31" s="23"/>
      <c r="H31" s="23"/>
    </row>
    <row r="32" spans="1:8" ht="12.75">
      <c r="A32" s="23"/>
      <c r="B32" s="23"/>
      <c r="C32" s="23"/>
      <c r="D32" s="23"/>
      <c r="E32" s="23"/>
      <c r="F32" s="23"/>
      <c r="G32" s="23"/>
      <c r="H32" s="23"/>
    </row>
    <row r="33" spans="1:8" ht="12.75">
      <c r="A33" s="23"/>
      <c r="B33" s="23"/>
      <c r="C33" s="23"/>
      <c r="D33" s="23"/>
      <c r="E33" s="23"/>
      <c r="F33" s="23"/>
      <c r="G33" s="23"/>
      <c r="H33" s="23"/>
    </row>
    <row r="34" spans="1:8" ht="12.75">
      <c r="A34" s="23"/>
      <c r="B34" s="23"/>
      <c r="C34" s="23"/>
      <c r="D34" s="23"/>
      <c r="E34" s="23"/>
      <c r="F34" s="23"/>
      <c r="G34" s="23"/>
      <c r="H34" s="23"/>
    </row>
    <row r="35" spans="1:8" ht="12.75">
      <c r="A35" s="23"/>
      <c r="B35" s="23"/>
      <c r="C35" s="23"/>
      <c r="D35" s="23"/>
      <c r="E35" s="23"/>
      <c r="F35" s="23"/>
      <c r="G35" s="23"/>
      <c r="H35" s="23"/>
    </row>
    <row r="36" spans="1:8" ht="12.75">
      <c r="A36" s="23"/>
      <c r="B36" s="23"/>
      <c r="C36" s="23"/>
      <c r="D36" s="23"/>
      <c r="E36" s="23"/>
      <c r="F36" s="23"/>
      <c r="G36" s="23"/>
      <c r="H36" s="23"/>
    </row>
    <row r="37" spans="1:8" ht="12.75">
      <c r="A37" s="23"/>
      <c r="B37" s="23"/>
      <c r="C37" s="23"/>
      <c r="D37" s="23"/>
      <c r="E37" s="23"/>
      <c r="F37" s="23"/>
      <c r="G37" s="23"/>
      <c r="H37" s="23"/>
    </row>
    <row r="38" spans="1:8" ht="12.75">
      <c r="A38" s="23"/>
      <c r="B38" s="23"/>
      <c r="C38" s="23"/>
      <c r="D38" s="23"/>
      <c r="E38" s="23"/>
      <c r="F38" s="23"/>
      <c r="G38" s="23"/>
      <c r="H38" s="23"/>
    </row>
    <row r="39" spans="1:8" ht="12.75">
      <c r="A39" s="23"/>
      <c r="B39" s="23"/>
      <c r="C39" s="23"/>
      <c r="D39" s="23"/>
      <c r="E39" s="23"/>
      <c r="F39" s="23"/>
      <c r="G39" s="23"/>
      <c r="H39" s="23"/>
    </row>
    <row r="40" spans="1:8" ht="12.75">
      <c r="A40" s="23"/>
      <c r="B40" s="23"/>
      <c r="C40" s="23"/>
      <c r="D40" s="23"/>
      <c r="E40" s="23"/>
      <c r="F40" s="23"/>
      <c r="G40" s="23"/>
      <c r="H40" s="23"/>
    </row>
    <row r="41" spans="1:8" ht="12.75">
      <c r="A41" s="23"/>
      <c r="B41" s="23"/>
      <c r="C41" s="23"/>
      <c r="D41" s="23"/>
      <c r="E41" s="23"/>
      <c r="F41" s="23"/>
      <c r="G41" s="23"/>
      <c r="H41" s="23"/>
    </row>
    <row r="42" spans="1:8" ht="12.75">
      <c r="A42" s="23"/>
      <c r="B42" s="23"/>
      <c r="C42" s="23"/>
      <c r="D42" s="23"/>
      <c r="E42" s="23"/>
      <c r="F42" s="23"/>
      <c r="G42" s="23"/>
      <c r="H42" s="23"/>
    </row>
    <row r="43" spans="1:8" ht="12.75">
      <c r="A43" s="23"/>
      <c r="B43" s="23"/>
      <c r="C43" s="23"/>
      <c r="D43" s="23"/>
      <c r="E43" s="23"/>
      <c r="F43" s="23"/>
      <c r="G43" s="23"/>
      <c r="H43" s="23"/>
    </row>
    <row r="44" spans="1:8" ht="12.75">
      <c r="A44" s="23"/>
      <c r="B44" s="23"/>
      <c r="C44" s="23"/>
      <c r="D44" s="23"/>
      <c r="E44" s="23"/>
      <c r="F44" s="23"/>
      <c r="G44" s="23"/>
      <c r="H44" s="23"/>
    </row>
    <row r="45" spans="1:8" ht="12.75">
      <c r="A45" s="23"/>
      <c r="B45" s="23"/>
      <c r="C45" s="23"/>
      <c r="D45" s="23"/>
      <c r="E45" s="23"/>
      <c r="F45" s="23"/>
      <c r="G45" s="23"/>
      <c r="H45" s="23"/>
    </row>
    <row r="46" spans="1:8" ht="12.75">
      <c r="A46" s="23"/>
      <c r="B46" s="23"/>
      <c r="C46" s="23"/>
      <c r="D46" s="23"/>
      <c r="E46" s="23"/>
      <c r="F46" s="23"/>
      <c r="G46" s="23"/>
      <c r="H46" s="23"/>
    </row>
    <row r="47" spans="1:8" ht="12.75">
      <c r="A47" s="23"/>
      <c r="B47" s="23"/>
      <c r="C47" s="23"/>
      <c r="D47" s="23"/>
      <c r="E47" s="23"/>
      <c r="F47" s="23"/>
      <c r="G47" s="23"/>
      <c r="H47" s="23"/>
    </row>
    <row r="48" spans="1:8" ht="12.75">
      <c r="A48" s="23"/>
      <c r="B48" s="23"/>
      <c r="C48" s="23"/>
      <c r="D48" s="23"/>
      <c r="E48" s="23"/>
      <c r="F48" s="23"/>
      <c r="G48" s="23"/>
      <c r="H48" s="23"/>
    </row>
    <row r="49" spans="1:8" ht="12.75">
      <c r="A49" s="23"/>
      <c r="B49" s="23"/>
      <c r="C49" s="23"/>
      <c r="D49" s="23"/>
      <c r="E49" s="23"/>
      <c r="F49" s="23"/>
      <c r="G49" s="23"/>
      <c r="H49" s="23"/>
    </row>
    <row r="50" spans="1:8" ht="12.75">
      <c r="A50" s="23"/>
      <c r="B50" s="23"/>
      <c r="C50" s="23"/>
      <c r="D50" s="23"/>
      <c r="E50" s="23"/>
      <c r="F50" s="23"/>
      <c r="G50" s="23"/>
      <c r="H50" s="23"/>
    </row>
    <row r="51" spans="1:8" ht="12.75">
      <c r="A51" s="23"/>
      <c r="B51" s="23"/>
      <c r="C51" s="23"/>
      <c r="D51" s="23"/>
      <c r="E51" s="23"/>
      <c r="F51" s="23"/>
      <c r="G51" s="23"/>
      <c r="H51" s="23"/>
    </row>
    <row r="52" spans="1:8" ht="12.75">
      <c r="A52" s="23"/>
      <c r="B52" s="23"/>
      <c r="C52" s="23"/>
      <c r="D52" s="23"/>
      <c r="E52" s="23"/>
      <c r="F52" s="23"/>
      <c r="G52" s="23"/>
      <c r="H52" s="23"/>
    </row>
    <row r="53" spans="1:8" ht="12.75">
      <c r="A53" s="23"/>
      <c r="B53" s="23"/>
      <c r="C53" s="23"/>
      <c r="D53" s="23"/>
      <c r="E53" s="23"/>
      <c r="F53" s="23"/>
      <c r="G53" s="23"/>
      <c r="H53" s="23"/>
    </row>
    <row r="54" spans="1:8" ht="12.75">
      <c r="A54" s="23"/>
      <c r="B54" s="23"/>
      <c r="C54" s="23"/>
      <c r="D54" s="23"/>
      <c r="E54" s="23"/>
      <c r="F54" s="23"/>
      <c r="G54" s="23"/>
      <c r="H54" s="23"/>
    </row>
    <row r="55" spans="1:8" ht="12.75">
      <c r="A55" s="23"/>
      <c r="B55" s="23"/>
      <c r="C55" s="23"/>
      <c r="D55" s="23"/>
      <c r="E55" s="23"/>
      <c r="F55" s="23"/>
      <c r="G55" s="23"/>
      <c r="H55" s="23"/>
    </row>
    <row r="56" spans="1:8" ht="12.75">
      <c r="A56" s="23"/>
      <c r="B56" s="23"/>
      <c r="C56" s="23"/>
      <c r="D56" s="23"/>
      <c r="E56" s="23"/>
      <c r="F56" s="23"/>
      <c r="G56" s="23"/>
      <c r="H56" s="23"/>
    </row>
    <row r="57" spans="1:8" ht="12.75">
      <c r="A57" s="23"/>
      <c r="B57" s="23"/>
      <c r="C57" s="23"/>
      <c r="D57" s="23"/>
      <c r="E57" s="23"/>
      <c r="F57" s="23"/>
      <c r="G57" s="23"/>
      <c r="H57" s="23"/>
    </row>
    <row r="58" spans="1:8" ht="12.75">
      <c r="A58" s="23"/>
      <c r="B58" s="23"/>
      <c r="C58" s="23"/>
      <c r="D58" s="23"/>
      <c r="E58" s="23"/>
      <c r="F58" s="23"/>
      <c r="G58" s="23"/>
      <c r="H58" s="23"/>
    </row>
    <row r="59" spans="1:8" ht="12.75">
      <c r="A59" s="23"/>
      <c r="B59" s="23"/>
      <c r="C59" s="23"/>
      <c r="D59" s="23"/>
      <c r="E59" s="23"/>
      <c r="F59" s="23"/>
      <c r="G59" s="23"/>
      <c r="H59" s="23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2.75">
      <c r="A61" s="23"/>
      <c r="B61" s="23"/>
      <c r="C61" s="23"/>
      <c r="D61" s="23"/>
      <c r="E61" s="23"/>
      <c r="F61" s="23"/>
      <c r="G61" s="23"/>
      <c r="H61" s="23"/>
    </row>
    <row r="62" spans="1:8" ht="12.75">
      <c r="A62" s="23"/>
      <c r="B62" s="23"/>
      <c r="C62" s="23"/>
      <c r="D62" s="23"/>
      <c r="E62" s="23"/>
      <c r="F62" s="23"/>
      <c r="G62" s="23"/>
      <c r="H62" s="23"/>
    </row>
    <row r="63" spans="1:8" ht="12.75">
      <c r="A63" s="23"/>
      <c r="B63" s="23"/>
      <c r="C63" s="23"/>
      <c r="D63" s="23"/>
      <c r="E63" s="23"/>
      <c r="F63" s="23"/>
      <c r="G63" s="23"/>
      <c r="H63" s="23"/>
    </row>
    <row r="64" spans="1:8" ht="12.75">
      <c r="A64" s="23"/>
      <c r="B64" s="23"/>
      <c r="C64" s="23"/>
      <c r="D64" s="23"/>
      <c r="E64" s="23"/>
      <c r="F64" s="23"/>
      <c r="G64" s="23"/>
      <c r="H64" s="23"/>
    </row>
    <row r="65" spans="1:8" ht="12.75">
      <c r="A65" s="23"/>
      <c r="B65" s="23"/>
      <c r="C65" s="23"/>
      <c r="D65" s="23"/>
      <c r="E65" s="23"/>
      <c r="F65" s="23"/>
      <c r="G65" s="23"/>
      <c r="H65" s="23"/>
    </row>
    <row r="66" spans="1:8" ht="12.75">
      <c r="A66" s="23"/>
      <c r="B66" s="23"/>
      <c r="C66" s="23"/>
      <c r="D66" s="23"/>
      <c r="E66" s="23"/>
      <c r="F66" s="23"/>
      <c r="G66" s="23"/>
      <c r="H66" s="23"/>
    </row>
    <row r="67" spans="1:8" ht="12.75">
      <c r="A67" s="23"/>
      <c r="B67" s="23"/>
      <c r="C67" s="23"/>
      <c r="D67" s="23"/>
      <c r="E67" s="23"/>
      <c r="F67" s="23"/>
      <c r="G67" s="23"/>
      <c r="H67" s="23"/>
    </row>
    <row r="68" spans="1:8" ht="12.75">
      <c r="A68" s="23"/>
      <c r="B68" s="23"/>
      <c r="C68" s="23"/>
      <c r="D68" s="23"/>
      <c r="E68" s="23"/>
      <c r="F68" s="23"/>
      <c r="G68" s="23"/>
      <c r="H68" s="23"/>
    </row>
    <row r="69" spans="1:8" ht="12.75">
      <c r="A69" s="23"/>
      <c r="B69" s="23"/>
      <c r="C69" s="23"/>
      <c r="D69" s="23"/>
      <c r="E69" s="23"/>
      <c r="F69" s="23"/>
      <c r="G69" s="23"/>
      <c r="H69" s="23"/>
    </row>
    <row r="70" spans="1:8" ht="12.75">
      <c r="A70" s="23"/>
      <c r="B70" s="23"/>
      <c r="C70" s="23"/>
      <c r="D70" s="23"/>
      <c r="E70" s="23"/>
      <c r="F70" s="23"/>
      <c r="G70" s="23"/>
      <c r="H70" s="23"/>
    </row>
    <row r="71" spans="1:8" ht="12.75">
      <c r="A71" s="23"/>
      <c r="B71" s="23"/>
      <c r="C71" s="23"/>
      <c r="D71" s="23"/>
      <c r="E71" s="23"/>
      <c r="F71" s="23"/>
      <c r="G71" s="23"/>
      <c r="H71" s="23"/>
    </row>
    <row r="72" spans="1:8" ht="12.75">
      <c r="A72" s="23"/>
      <c r="B72" s="23"/>
      <c r="C72" s="23"/>
      <c r="D72" s="23"/>
      <c r="E72" s="23"/>
      <c r="F72" s="23"/>
      <c r="G72" s="23"/>
      <c r="H72" s="23"/>
    </row>
    <row r="73" spans="1:8" ht="12.75">
      <c r="A73" s="23"/>
      <c r="B73" s="23"/>
      <c r="C73" s="23"/>
      <c r="D73" s="23"/>
      <c r="E73" s="23"/>
      <c r="F73" s="23"/>
      <c r="G73" s="23"/>
      <c r="H73" s="23"/>
    </row>
    <row r="74" spans="1:8" ht="12.75">
      <c r="A74" s="23"/>
      <c r="B74" s="23"/>
      <c r="C74" s="23"/>
      <c r="D74" s="23"/>
      <c r="E74" s="23"/>
      <c r="F74" s="23"/>
      <c r="G74" s="23"/>
      <c r="H74" s="23"/>
    </row>
    <row r="75" spans="1:8" ht="12.75">
      <c r="A75" s="23"/>
      <c r="B75" s="23"/>
      <c r="C75" s="23"/>
      <c r="D75" s="23"/>
      <c r="E75" s="23"/>
      <c r="F75" s="23"/>
      <c r="G75" s="23"/>
      <c r="H75" s="23"/>
    </row>
    <row r="76" spans="1:8" ht="12.75">
      <c r="A76" s="23"/>
      <c r="B76" s="23"/>
      <c r="C76" s="23"/>
      <c r="D76" s="23"/>
      <c r="E76" s="23"/>
      <c r="F76" s="23"/>
      <c r="G76" s="23"/>
      <c r="H76" s="23"/>
    </row>
    <row r="77" spans="1:8" ht="12.75">
      <c r="A77" s="23"/>
      <c r="B77" s="23"/>
      <c r="C77" s="23"/>
      <c r="D77" s="23"/>
      <c r="E77" s="23"/>
      <c r="F77" s="23"/>
      <c r="G77" s="23"/>
      <c r="H77" s="23"/>
    </row>
    <row r="78" spans="1:8" ht="12.75">
      <c r="A78" s="23"/>
      <c r="B78" s="23"/>
      <c r="C78" s="23"/>
      <c r="D78" s="23"/>
      <c r="E78" s="23"/>
      <c r="F78" s="23"/>
      <c r="G78" s="23"/>
      <c r="H78" s="23"/>
    </row>
    <row r="79" spans="1:8" ht="12.75">
      <c r="A79" s="23"/>
      <c r="B79" s="23"/>
      <c r="C79" s="23"/>
      <c r="D79" s="23"/>
      <c r="E79" s="23"/>
      <c r="F79" s="23"/>
      <c r="G79" s="23"/>
      <c r="H79" s="23"/>
    </row>
    <row r="80" spans="1:8" ht="12.75">
      <c r="A80" s="23"/>
      <c r="B80" s="23"/>
      <c r="C80" s="23"/>
      <c r="D80" s="23"/>
      <c r="E80" s="23"/>
      <c r="F80" s="23"/>
      <c r="G80" s="23"/>
      <c r="H80" s="23"/>
    </row>
    <row r="81" spans="1:8" ht="12.75">
      <c r="A81" s="23"/>
      <c r="B81" s="23"/>
      <c r="C81" s="23"/>
      <c r="D81" s="23"/>
      <c r="E81" s="23"/>
      <c r="F81" s="23"/>
      <c r="G81" s="23"/>
      <c r="H81" s="23"/>
    </row>
    <row r="82" spans="1:8" ht="12.75">
      <c r="A82" s="23"/>
      <c r="B82" s="23"/>
      <c r="C82" s="23"/>
      <c r="D82" s="23"/>
      <c r="E82" s="23"/>
      <c r="F82" s="23"/>
      <c r="G82" s="23"/>
      <c r="H82" s="23"/>
    </row>
    <row r="83" spans="1:8" ht="12.75">
      <c r="A83" s="23"/>
      <c r="B83" s="23"/>
      <c r="C83" s="23"/>
      <c r="D83" s="23"/>
      <c r="E83" s="23"/>
      <c r="F83" s="23"/>
      <c r="G83" s="23"/>
      <c r="H83" s="23"/>
    </row>
    <row r="84" spans="1:8" ht="12.75">
      <c r="A84" s="23"/>
      <c r="B84" s="23"/>
      <c r="C84" s="23"/>
      <c r="D84" s="23"/>
      <c r="E84" s="23"/>
      <c r="F84" s="23"/>
      <c r="G84" s="23"/>
      <c r="H84" s="23"/>
    </row>
    <row r="85" spans="1:8" ht="12.75">
      <c r="A85" s="23"/>
      <c r="B85" s="23"/>
      <c r="C85" s="23"/>
      <c r="D85" s="23"/>
      <c r="E85" s="23"/>
      <c r="F85" s="23"/>
      <c r="G85" s="23"/>
      <c r="H85" s="23"/>
    </row>
    <row r="86" spans="1:8" ht="12.75">
      <c r="A86" s="23"/>
      <c r="B86" s="23"/>
      <c r="C86" s="23"/>
      <c r="D86" s="23"/>
      <c r="E86" s="23"/>
      <c r="F86" s="23"/>
      <c r="G86" s="23"/>
      <c r="H86" s="23"/>
    </row>
    <row r="87" spans="1:8" ht="12.75">
      <c r="A87" s="23"/>
      <c r="B87" s="23"/>
      <c r="C87" s="23"/>
      <c r="D87" s="23"/>
      <c r="E87" s="23"/>
      <c r="F87" s="23"/>
      <c r="G87" s="23"/>
      <c r="H87" s="23"/>
    </row>
    <row r="88" spans="1:8" ht="12.75">
      <c r="A88" s="23"/>
      <c r="B88" s="23"/>
      <c r="C88" s="23"/>
      <c r="D88" s="23"/>
      <c r="E88" s="23"/>
      <c r="F88" s="23"/>
      <c r="G88" s="23"/>
      <c r="H88" s="23"/>
    </row>
    <row r="89" spans="1:8" ht="12.75">
      <c r="A89" s="23"/>
      <c r="B89" s="23"/>
      <c r="C89" s="23"/>
      <c r="D89" s="23"/>
      <c r="E89" s="23"/>
      <c r="F89" s="23"/>
      <c r="G89" s="23"/>
      <c r="H89" s="23"/>
    </row>
    <row r="90" spans="1:8" ht="12.75">
      <c r="A90" s="23"/>
      <c r="B90" s="23"/>
      <c r="C90" s="23"/>
      <c r="D90" s="23"/>
      <c r="E90" s="23"/>
      <c r="F90" s="23"/>
      <c r="G90" s="23"/>
      <c r="H90" s="23"/>
    </row>
    <row r="91" spans="1:8" ht="12.75">
      <c r="A91" s="23"/>
      <c r="B91" s="23"/>
      <c r="C91" s="23"/>
      <c r="D91" s="23"/>
      <c r="E91" s="23"/>
      <c r="F91" s="23"/>
      <c r="G91" s="23"/>
      <c r="H91" s="23"/>
    </row>
    <row r="92" spans="1:8" ht="12.75">
      <c r="A92" s="23"/>
      <c r="B92" s="23"/>
      <c r="C92" s="23"/>
      <c r="D92" s="23"/>
      <c r="E92" s="23"/>
      <c r="F92" s="23"/>
      <c r="G92" s="23"/>
      <c r="H92" s="23"/>
    </row>
    <row r="93" spans="1:8" ht="12.75">
      <c r="A93" s="23"/>
      <c r="B93" s="23"/>
      <c r="C93" s="23"/>
      <c r="D93" s="23"/>
      <c r="E93" s="23"/>
      <c r="F93" s="23"/>
      <c r="G93" s="23"/>
      <c r="H93" s="23"/>
    </row>
    <row r="94" spans="1:8" ht="12.75">
      <c r="A94" s="23"/>
      <c r="B94" s="23"/>
      <c r="C94" s="23"/>
      <c r="D94" s="23"/>
      <c r="E94" s="23"/>
      <c r="F94" s="23"/>
      <c r="G94" s="23"/>
      <c r="H94" s="23"/>
    </row>
    <row r="95" spans="1:8" ht="12.75">
      <c r="A95" s="23"/>
      <c r="B95" s="23"/>
      <c r="C95" s="23"/>
      <c r="D95" s="23"/>
      <c r="E95" s="23"/>
      <c r="F95" s="23"/>
      <c r="G95" s="23"/>
      <c r="H95" s="23"/>
    </row>
    <row r="96" spans="1:8" ht="12.75">
      <c r="A96" s="23"/>
      <c r="B96" s="23"/>
      <c r="C96" s="23"/>
      <c r="D96" s="23"/>
      <c r="E96" s="23"/>
      <c r="F96" s="23"/>
      <c r="G96" s="23"/>
      <c r="H96" s="23"/>
    </row>
    <row r="97" spans="1:8" ht="12.75">
      <c r="A97" s="23"/>
      <c r="B97" s="23"/>
      <c r="C97" s="23"/>
      <c r="D97" s="23"/>
      <c r="E97" s="23"/>
      <c r="F97" s="23"/>
      <c r="G97" s="23"/>
      <c r="H97" s="23"/>
    </row>
    <row r="98" spans="1:8" ht="12.75">
      <c r="A98" s="23"/>
      <c r="B98" s="23"/>
      <c r="C98" s="23"/>
      <c r="D98" s="23"/>
      <c r="E98" s="23"/>
      <c r="F98" s="23"/>
      <c r="G98" s="23"/>
      <c r="H98" s="23"/>
    </row>
    <row r="99" spans="1:8" ht="12.75">
      <c r="A99" s="23"/>
      <c r="B99" s="23"/>
      <c r="C99" s="23"/>
      <c r="D99" s="23"/>
      <c r="E99" s="23"/>
      <c r="F99" s="23"/>
      <c r="G99" s="23"/>
      <c r="H99" s="23"/>
    </row>
    <row r="100" spans="1:8" ht="12.75">
      <c r="A100" s="23"/>
      <c r="B100" s="23"/>
      <c r="C100" s="23"/>
      <c r="D100" s="23"/>
      <c r="E100" s="23"/>
      <c r="F100" s="23"/>
      <c r="G100" s="23"/>
      <c r="H100" s="23"/>
    </row>
    <row r="101" spans="1:8" ht="12.75">
      <c r="A101" s="23"/>
      <c r="B101" s="23"/>
      <c r="C101" s="23"/>
      <c r="D101" s="23"/>
      <c r="E101" s="23"/>
      <c r="F101" s="23"/>
      <c r="G101" s="23"/>
      <c r="H101" s="23"/>
    </row>
    <row r="102" spans="1:8" ht="12.75">
      <c r="A102" s="23"/>
      <c r="B102" s="23"/>
      <c r="C102" s="23"/>
      <c r="D102" s="23"/>
      <c r="E102" s="23"/>
      <c r="F102" s="23"/>
      <c r="G102" s="23"/>
      <c r="H102" s="23"/>
    </row>
    <row r="103" spans="1:8" ht="12.75">
      <c r="A103" s="23"/>
      <c r="B103" s="23"/>
      <c r="C103" s="23"/>
      <c r="D103" s="23"/>
      <c r="E103" s="23"/>
      <c r="F103" s="23"/>
      <c r="G103" s="23"/>
      <c r="H103" s="23"/>
    </row>
    <row r="104" spans="1:8" ht="12.75">
      <c r="A104" s="23"/>
      <c r="B104" s="23"/>
      <c r="C104" s="23"/>
      <c r="D104" s="23"/>
      <c r="E104" s="23"/>
      <c r="F104" s="23"/>
      <c r="G104" s="23"/>
      <c r="H104" s="23"/>
    </row>
    <row r="105" spans="1:8" ht="12.75">
      <c r="A105" s="23"/>
      <c r="B105" s="23"/>
      <c r="C105" s="23"/>
      <c r="D105" s="23"/>
      <c r="E105" s="23"/>
      <c r="F105" s="23"/>
      <c r="G105" s="23"/>
      <c r="H105" s="23"/>
    </row>
    <row r="106" spans="1:8" ht="12.75">
      <c r="A106" s="23"/>
      <c r="B106" s="23"/>
      <c r="C106" s="23"/>
      <c r="D106" s="23"/>
      <c r="E106" s="23"/>
      <c r="F106" s="23"/>
      <c r="G106" s="23"/>
      <c r="H106" s="23"/>
    </row>
    <row r="107" spans="1:8" ht="12.75">
      <c r="A107" s="23"/>
      <c r="B107" s="23"/>
      <c r="C107" s="23"/>
      <c r="D107" s="23"/>
      <c r="E107" s="23"/>
      <c r="F107" s="23"/>
      <c r="G107" s="23"/>
      <c r="H107" s="23"/>
    </row>
    <row r="108" spans="1:8" ht="12.75">
      <c r="A108" s="23"/>
      <c r="B108" s="23"/>
      <c r="C108" s="23"/>
      <c r="D108" s="23"/>
      <c r="E108" s="23"/>
      <c r="F108" s="23"/>
      <c r="G108" s="23"/>
      <c r="H108" s="23"/>
    </row>
    <row r="109" spans="1:8" ht="12.75">
      <c r="A109" s="23"/>
      <c r="B109" s="23"/>
      <c r="C109" s="23"/>
      <c r="D109" s="23"/>
      <c r="E109" s="23"/>
      <c r="F109" s="23"/>
      <c r="G109" s="23"/>
      <c r="H109" s="23"/>
    </row>
    <row r="110" spans="1:8" ht="12.75">
      <c r="A110" s="23"/>
      <c r="B110" s="23"/>
      <c r="C110" s="23"/>
      <c r="D110" s="23"/>
      <c r="E110" s="23"/>
      <c r="F110" s="23"/>
      <c r="G110" s="23"/>
      <c r="H110" s="23"/>
    </row>
    <row r="111" spans="1:8" ht="12.75">
      <c r="A111" s="23"/>
      <c r="B111" s="23"/>
      <c r="C111" s="23"/>
      <c r="D111" s="23"/>
      <c r="E111" s="23"/>
      <c r="F111" s="23"/>
      <c r="G111" s="23"/>
      <c r="H111" s="23"/>
    </row>
    <row r="112" spans="1:8" ht="12.75">
      <c r="A112" s="23"/>
      <c r="B112" s="23"/>
      <c r="C112" s="23"/>
      <c r="D112" s="23"/>
      <c r="E112" s="23"/>
      <c r="F112" s="23"/>
      <c r="G112" s="23"/>
      <c r="H112" s="23"/>
    </row>
    <row r="113" spans="1:8" ht="12.75">
      <c r="A113" s="23"/>
      <c r="B113" s="23"/>
      <c r="C113" s="23"/>
      <c r="D113" s="23"/>
      <c r="E113" s="23"/>
      <c r="F113" s="23"/>
      <c r="G113" s="23"/>
      <c r="H113" s="23"/>
    </row>
    <row r="114" spans="1:8" ht="12.75">
      <c r="A114" s="23"/>
      <c r="B114" s="23"/>
      <c r="C114" s="23"/>
      <c r="D114" s="23"/>
      <c r="E114" s="23"/>
      <c r="F114" s="23"/>
      <c r="G114" s="23"/>
      <c r="H114" s="23"/>
    </row>
    <row r="115" spans="1:8" ht="12.75">
      <c r="A115" s="23"/>
      <c r="B115" s="23"/>
      <c r="C115" s="23"/>
      <c r="D115" s="23"/>
      <c r="E115" s="23"/>
      <c r="F115" s="23"/>
      <c r="G115" s="23"/>
      <c r="H115" s="23"/>
    </row>
    <row r="116" spans="1:8" ht="12.75">
      <c r="A116" s="23"/>
      <c r="B116" s="23"/>
      <c r="C116" s="23"/>
      <c r="D116" s="23"/>
      <c r="E116" s="23"/>
      <c r="F116" s="23"/>
      <c r="G116" s="23"/>
      <c r="H116" s="23"/>
    </row>
    <row r="117" spans="1:8" ht="12.75">
      <c r="A117" s="23"/>
      <c r="B117" s="23"/>
      <c r="C117" s="23"/>
      <c r="D117" s="23"/>
      <c r="E117" s="23"/>
      <c r="F117" s="23"/>
      <c r="G117" s="23"/>
      <c r="H117" s="23"/>
    </row>
    <row r="118" spans="1:8" ht="12.75">
      <c r="A118" s="23"/>
      <c r="B118" s="23"/>
      <c r="C118" s="23"/>
      <c r="D118" s="23"/>
      <c r="E118" s="23"/>
      <c r="F118" s="23"/>
      <c r="G118" s="23"/>
      <c r="H118" s="23"/>
    </row>
    <row r="119" spans="1:8" ht="12.75">
      <c r="A119" s="23"/>
      <c r="B119" s="23"/>
      <c r="C119" s="23"/>
      <c r="D119" s="23"/>
      <c r="E119" s="23"/>
      <c r="F119" s="23"/>
      <c r="G119" s="23"/>
      <c r="H119" s="23"/>
    </row>
    <row r="120" spans="1:8" ht="12.75">
      <c r="A120" s="23"/>
      <c r="B120" s="23"/>
      <c r="C120" s="23"/>
      <c r="D120" s="23"/>
      <c r="E120" s="23"/>
      <c r="F120" s="23"/>
      <c r="G120" s="23"/>
      <c r="H120" s="23"/>
    </row>
    <row r="121" spans="1:8" ht="12.75">
      <c r="A121" s="23"/>
      <c r="B121" s="23"/>
      <c r="C121" s="23"/>
      <c r="D121" s="23"/>
      <c r="E121" s="23"/>
      <c r="F121" s="23"/>
      <c r="G121" s="23"/>
      <c r="H121" s="23"/>
    </row>
    <row r="122" spans="1:8" ht="12.75">
      <c r="A122" s="23"/>
      <c r="B122" s="23"/>
      <c r="C122" s="23"/>
      <c r="D122" s="23"/>
      <c r="E122" s="23"/>
      <c r="F122" s="23"/>
      <c r="G122" s="23"/>
      <c r="H122" s="23"/>
    </row>
    <row r="123" spans="1:8" ht="12.75">
      <c r="A123" s="23"/>
      <c r="B123" s="23"/>
      <c r="C123" s="23"/>
      <c r="D123" s="23"/>
      <c r="E123" s="23"/>
      <c r="F123" s="23"/>
      <c r="G123" s="23"/>
      <c r="H123" s="23"/>
    </row>
    <row r="124" spans="1:8" ht="12.75">
      <c r="A124" s="23"/>
      <c r="B124" s="23"/>
      <c r="C124" s="23"/>
      <c r="D124" s="23"/>
      <c r="E124" s="23"/>
      <c r="F124" s="23"/>
      <c r="G124" s="23"/>
      <c r="H124" s="23"/>
    </row>
    <row r="125" spans="1:8" ht="12.75">
      <c r="A125" s="23"/>
      <c r="B125" s="23"/>
      <c r="C125" s="23"/>
      <c r="D125" s="23"/>
      <c r="E125" s="23"/>
      <c r="F125" s="23"/>
      <c r="G125" s="23"/>
      <c r="H125" s="23"/>
    </row>
    <row r="126" spans="1:8" ht="12.75">
      <c r="A126" s="23"/>
      <c r="B126" s="23"/>
      <c r="C126" s="23"/>
      <c r="D126" s="23"/>
      <c r="E126" s="23"/>
      <c r="F126" s="23"/>
      <c r="G126" s="23"/>
      <c r="H126" s="23"/>
    </row>
    <row r="127" spans="1:8" ht="12.75">
      <c r="A127" s="23"/>
      <c r="B127" s="23"/>
      <c r="C127" s="23"/>
      <c r="D127" s="23"/>
      <c r="E127" s="23"/>
      <c r="F127" s="23"/>
      <c r="G127" s="23"/>
      <c r="H127" s="23"/>
    </row>
    <row r="128" spans="1:8" ht="12.75">
      <c r="A128" s="23"/>
      <c r="B128" s="23"/>
      <c r="C128" s="23"/>
      <c r="D128" s="23"/>
      <c r="E128" s="23"/>
      <c r="F128" s="23"/>
      <c r="G128" s="23"/>
      <c r="H128" s="23"/>
    </row>
    <row r="129" spans="1:8" ht="12.75">
      <c r="A129" s="23"/>
      <c r="B129" s="23"/>
      <c r="C129" s="23"/>
      <c r="D129" s="23"/>
      <c r="E129" s="23"/>
      <c r="F129" s="23"/>
      <c r="G129" s="23"/>
      <c r="H129" s="23"/>
    </row>
    <row r="130" spans="1:8" ht="12.75">
      <c r="A130" s="23"/>
      <c r="B130" s="23"/>
      <c r="C130" s="23"/>
      <c r="D130" s="23"/>
      <c r="E130" s="23"/>
      <c r="F130" s="23"/>
      <c r="G130" s="23"/>
      <c r="H130" s="23"/>
    </row>
    <row r="131" spans="1:8" ht="12.75">
      <c r="A131" s="23"/>
      <c r="B131" s="23"/>
      <c r="C131" s="23"/>
      <c r="D131" s="23"/>
      <c r="E131" s="23"/>
      <c r="F131" s="23"/>
      <c r="G131" s="23"/>
      <c r="H131" s="23"/>
    </row>
    <row r="132" spans="1:8" ht="12.75">
      <c r="A132" s="23"/>
      <c r="B132" s="23"/>
      <c r="C132" s="23"/>
      <c r="D132" s="23"/>
      <c r="E132" s="23"/>
      <c r="F132" s="23"/>
      <c r="G132" s="23"/>
      <c r="H132" s="23"/>
    </row>
    <row r="133" spans="1:8" ht="12.75">
      <c r="A133" s="23"/>
      <c r="B133" s="23"/>
      <c r="C133" s="23"/>
      <c r="D133" s="23"/>
      <c r="E133" s="23"/>
      <c r="F133" s="23"/>
      <c r="G133" s="23"/>
      <c r="H133" s="23"/>
    </row>
    <row r="134" spans="1:8" ht="12.75">
      <c r="A134" s="23"/>
      <c r="B134" s="23"/>
      <c r="C134" s="23"/>
      <c r="D134" s="23"/>
      <c r="E134" s="23"/>
      <c r="F134" s="23"/>
      <c r="G134" s="23"/>
      <c r="H134" s="23"/>
    </row>
    <row r="135" spans="1:8" ht="12.75">
      <c r="A135" s="23"/>
      <c r="B135" s="23"/>
      <c r="C135" s="23"/>
      <c r="D135" s="23"/>
      <c r="E135" s="23"/>
      <c r="F135" s="23"/>
      <c r="G135" s="23"/>
      <c r="H135" s="23"/>
    </row>
    <row r="136" spans="1:8" ht="12.75">
      <c r="A136" s="23"/>
      <c r="B136" s="23"/>
      <c r="C136" s="23"/>
      <c r="D136" s="23"/>
      <c r="E136" s="23"/>
      <c r="F136" s="23"/>
      <c r="G136" s="23"/>
      <c r="H136" s="23"/>
    </row>
    <row r="137" spans="1:8" ht="12.75">
      <c r="A137" s="23"/>
      <c r="B137" s="23"/>
      <c r="C137" s="23"/>
      <c r="D137" s="23"/>
      <c r="E137" s="23"/>
      <c r="F137" s="23"/>
      <c r="G137" s="23"/>
      <c r="H137" s="23"/>
    </row>
    <row r="138" spans="1:8" ht="12.75">
      <c r="A138" s="23"/>
      <c r="B138" s="23"/>
      <c r="C138" s="23"/>
      <c r="D138" s="23"/>
      <c r="E138" s="23"/>
      <c r="F138" s="23"/>
      <c r="G138" s="23"/>
      <c r="H138" s="23"/>
    </row>
    <row r="139" spans="1:8" ht="12.75">
      <c r="A139" s="23"/>
      <c r="B139" s="23"/>
      <c r="C139" s="23"/>
      <c r="D139" s="23"/>
      <c r="E139" s="23"/>
      <c r="F139" s="23"/>
      <c r="G139" s="23"/>
      <c r="H139" s="23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42"/>
  <sheetViews>
    <sheetView workbookViewId="0" topLeftCell="A16">
      <selection activeCell="E34" sqref="E34"/>
    </sheetView>
  </sheetViews>
  <sheetFormatPr defaultColWidth="9.140625" defaultRowHeight="12.75"/>
  <cols>
    <col min="1" max="1" width="11.140625" style="0" customWidth="1"/>
    <col min="2" max="4" width="14.140625" style="0" bestFit="1" customWidth="1"/>
    <col min="5" max="6" width="12.421875" style="0" bestFit="1" customWidth="1"/>
    <col min="11" max="11" width="9.57421875" style="0" bestFit="1" customWidth="1"/>
  </cols>
  <sheetData>
    <row r="1" ht="15.75">
      <c r="A1" s="2" t="s">
        <v>0</v>
      </c>
    </row>
    <row r="3" spans="1:14" ht="13.5" thickBot="1">
      <c r="A3" s="13"/>
      <c r="B3" s="13" t="s">
        <v>1</v>
      </c>
      <c r="C3" s="13" t="s">
        <v>2</v>
      </c>
      <c r="D3" s="13" t="s">
        <v>3</v>
      </c>
      <c r="G3" s="100"/>
      <c r="H3" s="100"/>
      <c r="I3" s="100"/>
      <c r="J3" s="5"/>
      <c r="K3" s="19"/>
      <c r="L3" s="5"/>
      <c r="M3" s="5"/>
      <c r="N3" s="5"/>
    </row>
    <row r="4" spans="1:14" ht="12.75">
      <c r="A4" s="14" t="s">
        <v>4</v>
      </c>
      <c r="B4">
        <v>16</v>
      </c>
      <c r="C4">
        <v>38</v>
      </c>
      <c r="D4">
        <v>41</v>
      </c>
      <c r="E4" t="s">
        <v>17</v>
      </c>
      <c r="G4" s="5"/>
      <c r="H4" s="5"/>
      <c r="I4" s="5"/>
      <c r="J4" s="5"/>
      <c r="K4" s="84"/>
      <c r="L4" s="5"/>
      <c r="M4" s="5"/>
      <c r="N4" s="5"/>
    </row>
    <row r="5" spans="1:14" ht="12.75">
      <c r="A5" s="14" t="s">
        <v>12</v>
      </c>
      <c r="B5">
        <f>20</f>
        <v>20</v>
      </c>
      <c r="C5">
        <f>B5</f>
        <v>20</v>
      </c>
      <c r="D5">
        <f>C5</f>
        <v>20</v>
      </c>
      <c r="E5" t="s">
        <v>23</v>
      </c>
      <c r="K5" s="84"/>
      <c r="L5" s="5"/>
      <c r="M5" s="5"/>
      <c r="N5" s="5"/>
    </row>
    <row r="6" spans="1:14" ht="12.75">
      <c r="A6" s="14" t="s">
        <v>5</v>
      </c>
      <c r="B6">
        <v>0.24</v>
      </c>
      <c r="C6">
        <v>0.24</v>
      </c>
      <c r="D6">
        <v>0.24</v>
      </c>
      <c r="K6" s="84"/>
      <c r="L6" s="90"/>
      <c r="M6" s="5"/>
      <c r="N6" s="5"/>
    </row>
    <row r="7" spans="1:14" ht="12.75">
      <c r="A7" s="14" t="s">
        <v>7</v>
      </c>
      <c r="B7" s="1">
        <f>B4/SIN(RADIANS(B5))</f>
        <v>46.7808704026094</v>
      </c>
      <c r="C7" s="1">
        <f>C4/SIN(RADIANS(C5))</f>
        <v>111.10456720619732</v>
      </c>
      <c r="D7" s="1">
        <f>D4/SIN(RADIANS(D5))</f>
        <v>119.87598040668658</v>
      </c>
      <c r="E7" s="1" t="s">
        <v>17</v>
      </c>
      <c r="K7" s="84"/>
      <c r="L7" s="5"/>
      <c r="M7" s="5"/>
      <c r="N7" s="5"/>
    </row>
    <row r="8" spans="1:14" ht="12.75">
      <c r="A8" s="14" t="s">
        <v>6</v>
      </c>
      <c r="B8">
        <f>2*PI()*B9*B7</f>
        <v>70.92600335782143</v>
      </c>
      <c r="C8">
        <f>2*PI()*C9*C7</f>
        <v>168.44925797482588</v>
      </c>
      <c r="D8">
        <f>2*PI()*D9*D7</f>
        <v>181.7478836044174</v>
      </c>
      <c r="E8" t="s">
        <v>24</v>
      </c>
      <c r="K8" s="84"/>
      <c r="L8" s="5"/>
      <c r="M8" s="5"/>
      <c r="N8" s="5"/>
    </row>
    <row r="9" spans="1:14" ht="12.75">
      <c r="A9" s="14" t="s">
        <v>11</v>
      </c>
      <c r="B9">
        <f>9.5*0.0254</f>
        <v>0.2413</v>
      </c>
      <c r="C9">
        <f>9.5*0.0254</f>
        <v>0.2413</v>
      </c>
      <c r="D9">
        <f>9.5*0.0254</f>
        <v>0.2413</v>
      </c>
      <c r="E9" t="s">
        <v>17</v>
      </c>
      <c r="K9" s="84"/>
      <c r="L9" s="5"/>
      <c r="M9" s="5"/>
      <c r="N9" s="5"/>
    </row>
    <row r="10" spans="1:14" ht="12.75">
      <c r="A10" s="14" t="s">
        <v>15</v>
      </c>
      <c r="B10">
        <f>1533/1000</f>
        <v>1.533</v>
      </c>
      <c r="C10">
        <f>1227/1000</f>
        <v>1.227</v>
      </c>
      <c r="D10">
        <f>800/1000</f>
        <v>0.8</v>
      </c>
      <c r="E10" t="s">
        <v>28</v>
      </c>
      <c r="K10" s="84"/>
      <c r="L10" s="5"/>
      <c r="M10" s="5"/>
      <c r="N10" s="5"/>
    </row>
    <row r="11" spans="1:14" ht="12.75">
      <c r="A11" s="14"/>
      <c r="B11">
        <f>B10/10^12</f>
        <v>1.5329999999999998E-12</v>
      </c>
      <c r="C11">
        <f>C10/10^12</f>
        <v>1.2270000000000001E-12</v>
      </c>
      <c r="D11">
        <f>D10/10^12</f>
        <v>8E-13</v>
      </c>
      <c r="E11" t="s">
        <v>24</v>
      </c>
      <c r="K11" s="84"/>
      <c r="L11" s="5"/>
      <c r="M11" s="5"/>
      <c r="N11" s="5"/>
    </row>
    <row r="12" spans="1:14" ht="12.75">
      <c r="A12" s="14" t="s">
        <v>16</v>
      </c>
      <c r="B12">
        <f>B10/10</f>
        <v>0.1533</v>
      </c>
      <c r="C12">
        <f>C10/10</f>
        <v>0.1227</v>
      </c>
      <c r="D12">
        <f>D10/10</f>
        <v>0.08</v>
      </c>
      <c r="E12" t="s">
        <v>28</v>
      </c>
      <c r="K12" s="84"/>
      <c r="L12" s="5"/>
      <c r="M12" s="5"/>
      <c r="N12" s="5"/>
    </row>
    <row r="13" spans="1:5" ht="12.75">
      <c r="A13" s="14"/>
      <c r="B13">
        <f>B12*10^-12</f>
        <v>1.533E-13</v>
      </c>
      <c r="C13">
        <f>C12*10^-12</f>
        <v>1.227E-13</v>
      </c>
      <c r="D13">
        <f>D12*10^-12</f>
        <v>8E-14</v>
      </c>
      <c r="E13" t="s">
        <v>24</v>
      </c>
    </row>
    <row r="14" spans="1:5" ht="12.75">
      <c r="A14" s="14" t="s">
        <v>54</v>
      </c>
      <c r="B14">
        <f>SQRT(B11/B13)</f>
        <v>3.1622776601683795</v>
      </c>
      <c r="C14">
        <f>SQRT(C11/C13)</f>
        <v>3.1622776601683795</v>
      </c>
      <c r="D14">
        <f>SQRT(D11/D13)</f>
        <v>3.1622776601683795</v>
      </c>
      <c r="E14" t="s">
        <v>55</v>
      </c>
    </row>
    <row r="15" spans="1:5" ht="12.75">
      <c r="A15" s="14" t="s">
        <v>32</v>
      </c>
      <c r="B15">
        <f>SQRT(B12^2+B10^2)</f>
        <v>1.5406459327178323</v>
      </c>
      <c r="C15">
        <f>SQRT(C12^2+C10^2)</f>
        <v>1.2331197387115334</v>
      </c>
      <c r="D15">
        <f>SQRT(D12^2+D10^2)</f>
        <v>0.8039900496896712</v>
      </c>
      <c r="E15" t="s">
        <v>28</v>
      </c>
    </row>
    <row r="16" spans="1:10" ht="12.75">
      <c r="A16" s="14"/>
      <c r="B16">
        <f>B15*10^-12</f>
        <v>1.5406459327178324E-12</v>
      </c>
      <c r="C16">
        <f>C15*10^-12</f>
        <v>1.2331197387115334E-12</v>
      </c>
      <c r="D16">
        <f>D15*10^-12</f>
        <v>8.039900496896713E-13</v>
      </c>
      <c r="E16" t="s">
        <v>24</v>
      </c>
      <c r="G16" s="5"/>
      <c r="H16" s="5"/>
      <c r="I16" s="5"/>
      <c r="J16" s="5"/>
    </row>
    <row r="17" spans="1:10" ht="12.75">
      <c r="A17" s="14" t="s">
        <v>8</v>
      </c>
      <c r="B17">
        <v>313</v>
      </c>
      <c r="C17">
        <f>B17</f>
        <v>313</v>
      </c>
      <c r="D17">
        <f>C17</f>
        <v>313</v>
      </c>
      <c r="E17" t="s">
        <v>20</v>
      </c>
      <c r="G17" s="5"/>
      <c r="H17" s="5"/>
      <c r="I17" s="5"/>
      <c r="J17" s="5"/>
    </row>
    <row r="18" spans="1:10" ht="12.75">
      <c r="A18" s="14"/>
      <c r="B18">
        <f>B17*10^5</f>
        <v>31300000</v>
      </c>
      <c r="C18">
        <f>C17*10^5</f>
        <v>31300000</v>
      </c>
      <c r="D18">
        <f>D17*10^5</f>
        <v>31300000</v>
      </c>
      <c r="E18" t="s">
        <v>29</v>
      </c>
      <c r="G18" s="5"/>
      <c r="H18" s="5"/>
      <c r="I18" s="5"/>
      <c r="J18" s="5"/>
    </row>
    <row r="19" spans="1:10" ht="12.75">
      <c r="A19" s="14" t="s">
        <v>9</v>
      </c>
      <c r="B19">
        <f>0.48/1000</f>
        <v>0.00047999999999999996</v>
      </c>
      <c r="C19">
        <f>0.48/1000</f>
        <v>0.00047999999999999996</v>
      </c>
      <c r="D19">
        <f>0.48/1000</f>
        <v>0.00047999999999999996</v>
      </c>
      <c r="E19" t="s">
        <v>31</v>
      </c>
      <c r="G19" s="5"/>
      <c r="H19" s="5"/>
      <c r="I19" s="5"/>
      <c r="J19" s="5"/>
    </row>
    <row r="20" spans="1:10" ht="12.75">
      <c r="A20" s="14" t="s">
        <v>10</v>
      </c>
      <c r="B20">
        <v>690</v>
      </c>
      <c r="C20">
        <f>B20</f>
        <v>690</v>
      </c>
      <c r="D20">
        <f>C20</f>
        <v>690</v>
      </c>
      <c r="E20" t="s">
        <v>21</v>
      </c>
      <c r="G20" s="5"/>
      <c r="H20" s="5"/>
      <c r="I20" s="5"/>
      <c r="J20" s="5"/>
    </row>
    <row r="21" spans="1:10" ht="12.75">
      <c r="A21" s="14" t="s">
        <v>13</v>
      </c>
      <c r="B21">
        <f>0.15*10^6</f>
        <v>150000</v>
      </c>
      <c r="C21">
        <f>0.6*10^6</f>
        <v>600000</v>
      </c>
      <c r="D21">
        <f>1.7*10^6</f>
        <v>1700000</v>
      </c>
      <c r="E21" t="s">
        <v>14</v>
      </c>
      <c r="G21" s="5"/>
      <c r="H21" s="5"/>
      <c r="I21" s="5"/>
      <c r="J21" s="5"/>
    </row>
    <row r="22" spans="1:5" ht="12.75">
      <c r="A22" s="14" t="s">
        <v>56</v>
      </c>
      <c r="B22">
        <f>ROUNDUP(Hull!B4/20,0)</f>
        <v>1</v>
      </c>
      <c r="C22">
        <f>ROUNDUP(Hull!B18/20,0)</f>
        <v>1</v>
      </c>
      <c r="D22">
        <f>ROUNDUP(Hull!B32/20,0)</f>
        <v>1</v>
      </c>
      <c r="E22" t="s">
        <v>35</v>
      </c>
    </row>
    <row r="23" spans="1:5" ht="12.75">
      <c r="A23" s="14" t="s">
        <v>53</v>
      </c>
      <c r="B23">
        <f>7.4*B22</f>
        <v>7.4</v>
      </c>
      <c r="C23">
        <f>7.4*C22</f>
        <v>7.4</v>
      </c>
      <c r="D23">
        <f>7.4*D22</f>
        <v>7.4</v>
      </c>
      <c r="E23" t="s">
        <v>17</v>
      </c>
    </row>
    <row r="25" spans="1:3" ht="13.5" thickBot="1">
      <c r="A25" s="8"/>
      <c r="B25" s="8"/>
      <c r="C25" s="8"/>
    </row>
    <row r="26" spans="1:7" ht="12.75">
      <c r="A26" s="14" t="s">
        <v>18</v>
      </c>
      <c r="B26">
        <v>60</v>
      </c>
      <c r="C26" t="s">
        <v>20</v>
      </c>
      <c r="D26" s="5"/>
      <c r="E26" s="5"/>
      <c r="F26" s="5"/>
      <c r="G26" s="5"/>
    </row>
    <row r="27" spans="1:7" ht="12.75">
      <c r="A27" s="14" t="s">
        <v>19</v>
      </c>
      <c r="B27">
        <v>2400</v>
      </c>
      <c r="C27" t="s">
        <v>17</v>
      </c>
      <c r="D27" s="5"/>
      <c r="E27" s="5"/>
      <c r="F27" s="5"/>
      <c r="G27" s="5"/>
    </row>
    <row r="28" spans="1:7" ht="12.75">
      <c r="A28" s="14" t="s">
        <v>25</v>
      </c>
      <c r="B28">
        <f>B27*D20*9.81/10^5+B26</f>
        <v>222.4536</v>
      </c>
      <c r="C28" t="s">
        <v>20</v>
      </c>
      <c r="D28" s="90"/>
      <c r="E28" s="5"/>
      <c r="F28" s="5"/>
      <c r="G28" s="5"/>
    </row>
    <row r="29" spans="1:7" ht="12.75">
      <c r="A29" s="14"/>
      <c r="B29">
        <f>B28*10^5</f>
        <v>22245360</v>
      </c>
      <c r="C29" t="s">
        <v>29</v>
      </c>
      <c r="D29" s="5"/>
      <c r="E29" s="5"/>
      <c r="F29" s="5"/>
      <c r="G29" s="5"/>
    </row>
    <row r="30" spans="1:7" ht="12.75">
      <c r="A30" s="14" t="s">
        <v>22</v>
      </c>
      <c r="B30">
        <f>B9/2</f>
        <v>0.12065</v>
      </c>
      <c r="C30" t="s">
        <v>17</v>
      </c>
      <c r="D30" s="5"/>
      <c r="E30" s="5"/>
      <c r="F30" s="5"/>
      <c r="G30" s="5"/>
    </row>
    <row r="31" spans="1:7" ht="12.75">
      <c r="A31" s="14" t="s">
        <v>27</v>
      </c>
      <c r="B31">
        <v>200</v>
      </c>
      <c r="C31" t="s">
        <v>17</v>
      </c>
      <c r="D31" s="5"/>
      <c r="E31" s="5"/>
      <c r="F31" s="5"/>
      <c r="G31" s="5"/>
    </row>
    <row r="32" spans="1:7" ht="12.75">
      <c r="A32" s="14" t="s">
        <v>25</v>
      </c>
      <c r="B32">
        <f>31000000</f>
        <v>31000000</v>
      </c>
      <c r="C32" t="s">
        <v>29</v>
      </c>
      <c r="D32" s="5"/>
      <c r="E32" s="5"/>
      <c r="F32" s="5"/>
      <c r="G32" s="5"/>
    </row>
    <row r="33" spans="1:7" ht="12.75">
      <c r="A33" s="14" t="s">
        <v>51</v>
      </c>
      <c r="B33">
        <v>1.332</v>
      </c>
      <c r="C33" t="s">
        <v>52</v>
      </c>
      <c r="D33" s="5"/>
      <c r="E33" s="5"/>
      <c r="F33" s="5"/>
      <c r="G33" s="5"/>
    </row>
    <row r="34" spans="1:7" ht="12.75">
      <c r="A34" s="21" t="s">
        <v>62</v>
      </c>
      <c r="B34">
        <f>6.4</f>
        <v>6.4</v>
      </c>
      <c r="C34" t="s">
        <v>46</v>
      </c>
      <c r="D34" s="5"/>
      <c r="E34" s="5"/>
      <c r="F34" s="5"/>
      <c r="G34" s="5"/>
    </row>
    <row r="35" spans="1:7" ht="12.75">
      <c r="A35" s="19"/>
      <c r="B35" s="5"/>
      <c r="C35" s="5"/>
      <c r="D35" s="5"/>
      <c r="E35" s="5"/>
      <c r="F35" s="5"/>
      <c r="G35" s="5"/>
    </row>
    <row r="36" spans="1:7" ht="12.75">
      <c r="A36" s="19"/>
      <c r="B36" s="91"/>
      <c r="C36" s="5"/>
      <c r="D36" s="5"/>
      <c r="E36" s="91"/>
      <c r="F36" s="5"/>
      <c r="G36" s="19"/>
    </row>
    <row r="37" spans="6:7" ht="13.5" thickBot="1">
      <c r="F37" s="5"/>
      <c r="G37" s="5"/>
    </row>
    <row r="38" spans="1:7" ht="12.75">
      <c r="A38" s="40"/>
      <c r="B38" s="29" t="s">
        <v>139</v>
      </c>
      <c r="C38" s="29" t="s">
        <v>141</v>
      </c>
      <c r="D38" s="29" t="s">
        <v>142</v>
      </c>
      <c r="E38" s="42" t="s">
        <v>140</v>
      </c>
      <c r="F38" s="5"/>
      <c r="G38" s="5"/>
    </row>
    <row r="39" spans="1:7" ht="12.75">
      <c r="A39" s="93" t="s">
        <v>136</v>
      </c>
      <c r="B39" s="46">
        <v>0.24</v>
      </c>
      <c r="C39" s="46">
        <f>Formasjon!B12</f>
        <v>0.1533</v>
      </c>
      <c r="D39" s="46">
        <f>C39*10</f>
        <v>1.533</v>
      </c>
      <c r="E39" s="55">
        <v>0.96</v>
      </c>
      <c r="F39" s="5"/>
      <c r="G39" s="5"/>
    </row>
    <row r="40" spans="1:7" ht="12.75">
      <c r="A40" s="93" t="s">
        <v>138</v>
      </c>
      <c r="B40" s="46">
        <v>0.24</v>
      </c>
      <c r="C40" s="46">
        <f>Formasjon!C12</f>
        <v>0.1227</v>
      </c>
      <c r="D40" s="46">
        <f>C40*10</f>
        <v>1.227</v>
      </c>
      <c r="E40" s="55">
        <v>0.94</v>
      </c>
      <c r="F40" s="5"/>
      <c r="G40" s="5"/>
    </row>
    <row r="41" spans="1:7" ht="13.5" thickBot="1">
      <c r="A41" s="94" t="s">
        <v>137</v>
      </c>
      <c r="B41" s="36">
        <v>0.24</v>
      </c>
      <c r="C41" s="36">
        <f>Formasjon!D12</f>
        <v>0.08</v>
      </c>
      <c r="D41" s="36">
        <f>C41*10</f>
        <v>0.8</v>
      </c>
      <c r="E41" s="56">
        <v>0.99</v>
      </c>
      <c r="F41" s="5"/>
      <c r="G41" s="5"/>
    </row>
    <row r="42" spans="6:7" ht="12.75">
      <c r="F42" s="5"/>
      <c r="G42" s="5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P201"/>
  <sheetViews>
    <sheetView tabSelected="1" zoomScale="60" zoomScaleNormal="60" workbookViewId="0" topLeftCell="C159">
      <selection activeCell="R180" sqref="R180"/>
    </sheetView>
  </sheetViews>
  <sheetFormatPr defaultColWidth="9.140625" defaultRowHeight="12.75"/>
  <cols>
    <col min="1" max="1" width="14.7109375" style="0" customWidth="1"/>
    <col min="2" max="2" width="14.421875" style="0" bestFit="1" customWidth="1"/>
    <col min="3" max="3" width="15.140625" style="0" bestFit="1" customWidth="1"/>
    <col min="4" max="4" width="14.7109375" style="0" bestFit="1" customWidth="1"/>
    <col min="5" max="5" width="13.421875" style="0" customWidth="1"/>
    <col min="6" max="6" width="21.140625" style="0" bestFit="1" customWidth="1"/>
    <col min="7" max="7" width="14.7109375" style="0" bestFit="1" customWidth="1"/>
    <col min="8" max="8" width="14.8515625" style="0" bestFit="1" customWidth="1"/>
    <col min="9" max="9" width="14.421875" style="0" bestFit="1" customWidth="1"/>
    <col min="10" max="10" width="14.7109375" style="0" bestFit="1" customWidth="1"/>
    <col min="11" max="11" width="14.140625" style="0" customWidth="1"/>
    <col min="12" max="12" width="14.421875" style="0" bestFit="1" customWidth="1"/>
    <col min="13" max="13" width="10.7109375" style="0" customWidth="1"/>
    <col min="14" max="14" width="12.421875" style="0" customWidth="1"/>
    <col min="15" max="15" width="15.8515625" style="0" customWidth="1"/>
    <col min="16" max="16" width="14.7109375" style="0" bestFit="1" customWidth="1"/>
  </cols>
  <sheetData>
    <row r="1" ht="23.25">
      <c r="A1" s="99" t="s">
        <v>146</v>
      </c>
    </row>
    <row r="3" ht="12.75">
      <c r="A3" s="11" t="s">
        <v>63</v>
      </c>
    </row>
    <row r="4" spans="1:3" ht="12.75">
      <c r="A4" s="15" t="s">
        <v>64</v>
      </c>
      <c r="B4">
        <f>313*10^5</f>
        <v>31300000</v>
      </c>
      <c r="C4" t="s">
        <v>29</v>
      </c>
    </row>
    <row r="5" spans="1:3" ht="12.75">
      <c r="A5" s="15" t="s">
        <v>72</v>
      </c>
      <c r="B5">
        <v>0.196</v>
      </c>
      <c r="C5" t="s">
        <v>17</v>
      </c>
    </row>
    <row r="6" spans="1:14" ht="12.75">
      <c r="A6" s="15" t="s">
        <v>73</v>
      </c>
      <c r="B6">
        <v>0.1778</v>
      </c>
      <c r="C6" t="s">
        <v>17</v>
      </c>
      <c r="N6" s="5"/>
    </row>
    <row r="7" spans="1:14" ht="12.75">
      <c r="A7" s="15" t="s">
        <v>74</v>
      </c>
      <c r="B7">
        <f>PI()/4*(B5^2-B6^2)</f>
        <v>0.005343189369298986</v>
      </c>
      <c r="C7" t="s">
        <v>24</v>
      </c>
      <c r="N7" s="5"/>
    </row>
    <row r="8" spans="1:14" ht="12.75">
      <c r="A8" s="15" t="s">
        <v>75</v>
      </c>
      <c r="B8">
        <f>PI()*B5*7.4</f>
        <v>4.556565984766636</v>
      </c>
      <c r="C8" t="s">
        <v>24</v>
      </c>
      <c r="N8" s="5"/>
    </row>
    <row r="9" spans="1:14" ht="12.75">
      <c r="A9" s="27" t="s">
        <v>118</v>
      </c>
      <c r="B9">
        <f>0.407</f>
        <v>0.407</v>
      </c>
      <c r="C9" t="s">
        <v>24</v>
      </c>
      <c r="N9" s="5"/>
    </row>
    <row r="10" spans="1:3" ht="12.75">
      <c r="A10" s="15" t="s">
        <v>45</v>
      </c>
      <c r="B10">
        <f>Hull!I4</f>
        <v>0.01016</v>
      </c>
      <c r="C10" t="s">
        <v>17</v>
      </c>
    </row>
    <row r="11" spans="1:3" ht="12.75">
      <c r="A11" s="15" t="s">
        <v>86</v>
      </c>
      <c r="B11" s="25">
        <v>7.4</v>
      </c>
      <c r="C11" t="s">
        <v>17</v>
      </c>
    </row>
    <row r="12" spans="1:12" ht="13.5" thickBot="1">
      <c r="A12" s="27" t="s">
        <v>94</v>
      </c>
      <c r="B12" s="25">
        <f>Formasjon!B29</f>
        <v>22245360</v>
      </c>
      <c r="C12" t="s">
        <v>29</v>
      </c>
      <c r="D12" s="8"/>
      <c r="E12" s="35" t="s">
        <v>91</v>
      </c>
      <c r="F12" s="36"/>
      <c r="G12" s="36"/>
      <c r="H12" s="35" t="s">
        <v>92</v>
      </c>
      <c r="I12" s="35"/>
      <c r="J12" s="35"/>
      <c r="K12" s="35" t="s">
        <v>93</v>
      </c>
      <c r="L12" s="35"/>
    </row>
    <row r="13" spans="1:12" ht="12.75">
      <c r="A13" t="s">
        <v>81</v>
      </c>
      <c r="B13" s="20" t="s">
        <v>82</v>
      </c>
      <c r="D13" s="31" t="s">
        <v>76</v>
      </c>
      <c r="E13" s="34">
        <v>20</v>
      </c>
      <c r="F13" s="4" t="s">
        <v>98</v>
      </c>
      <c r="G13" s="31" t="s">
        <v>76</v>
      </c>
      <c r="H13" s="34">
        <v>19</v>
      </c>
      <c r="I13" s="4" t="s">
        <v>98</v>
      </c>
      <c r="J13" s="31" t="s">
        <v>76</v>
      </c>
      <c r="K13" s="34">
        <v>13</v>
      </c>
      <c r="L13" s="4" t="s">
        <v>98</v>
      </c>
    </row>
    <row r="14" spans="1:12" ht="13.5" thickBot="1">
      <c r="A14" t="s">
        <v>83</v>
      </c>
      <c r="B14" s="20" t="s">
        <v>84</v>
      </c>
      <c r="D14" s="32" t="s">
        <v>79</v>
      </c>
      <c r="E14" s="33">
        <v>1</v>
      </c>
      <c r="F14" s="9" t="s">
        <v>35</v>
      </c>
      <c r="G14" s="32" t="s">
        <v>79</v>
      </c>
      <c r="H14" s="33">
        <v>2</v>
      </c>
      <c r="I14" s="9" t="s">
        <v>35</v>
      </c>
      <c r="J14" s="32" t="s">
        <v>79</v>
      </c>
      <c r="K14" s="33">
        <v>2</v>
      </c>
      <c r="L14" s="9" t="s">
        <v>35</v>
      </c>
    </row>
    <row r="15" spans="1:2" ht="13.5" thickBot="1">
      <c r="A15" s="15" t="s">
        <v>113</v>
      </c>
      <c r="B15" s="5">
        <f>2*(B5-B6)</f>
        <v>0.03639999999999999</v>
      </c>
    </row>
    <row r="16" spans="1:12" ht="12.75">
      <c r="A16" s="15" t="s">
        <v>116</v>
      </c>
      <c r="B16" s="5">
        <f>B9/B8</f>
        <v>0.08932165173524738</v>
      </c>
      <c r="D16" s="40" t="s">
        <v>100</v>
      </c>
      <c r="E16" s="34">
        <f>ROUNDUP(E13,0)</f>
        <v>20</v>
      </c>
      <c r="F16" s="4" t="str">
        <f>F13</f>
        <v>stk/seksjon</v>
      </c>
      <c r="G16" s="40" t="str">
        <f>D16</f>
        <v>Reelt # hull</v>
      </c>
      <c r="H16" s="34">
        <f>ROUNDUP(H13,0)</f>
        <v>19</v>
      </c>
      <c r="I16" s="4" t="str">
        <f>I13</f>
        <v>stk/seksjon</v>
      </c>
      <c r="J16" s="40" t="str">
        <f>G16</f>
        <v>Reelt # hull</v>
      </c>
      <c r="K16" s="34">
        <f>ROUNDUP(K13,0)</f>
        <v>13</v>
      </c>
      <c r="L16" s="4" t="str">
        <f>L13</f>
        <v>stk/seksjon</v>
      </c>
    </row>
    <row r="17" spans="1:12" ht="13.5" thickBot="1">
      <c r="A17" s="15" t="s">
        <v>110</v>
      </c>
      <c r="B17" s="5">
        <f>PI()*B6*1.5</f>
        <v>0.8378627607123978</v>
      </c>
      <c r="C17" t="s">
        <v>24</v>
      </c>
      <c r="D17" s="7" t="s">
        <v>101</v>
      </c>
      <c r="E17" s="33">
        <f>ROUNDUP(E14,0)</f>
        <v>1</v>
      </c>
      <c r="F17" s="9" t="str">
        <f>F14</f>
        <v>stk</v>
      </c>
      <c r="G17" s="7" t="str">
        <f>D17</f>
        <v>Reelt # skjermer</v>
      </c>
      <c r="H17" s="33">
        <f>ROUNDUP(H14,0)</f>
        <v>2</v>
      </c>
      <c r="I17" s="9" t="str">
        <f>I14</f>
        <v>stk</v>
      </c>
      <c r="J17" s="7" t="str">
        <f>G17</f>
        <v>Reelt # skjermer</v>
      </c>
      <c r="K17" s="33">
        <f>ROUNDUP(K14,0)</f>
        <v>2</v>
      </c>
      <c r="L17" s="9" t="str">
        <f>L14</f>
        <v>stk</v>
      </c>
    </row>
    <row r="18" spans="1:3" ht="13.5" thickBot="1">
      <c r="A18" s="15" t="s">
        <v>111</v>
      </c>
      <c r="B18" s="5">
        <f>PI()*Hull!I5^2</f>
        <v>8.107319665559966E-05</v>
      </c>
      <c r="C18" t="s">
        <v>24</v>
      </c>
    </row>
    <row r="19" spans="1:12" ht="12.75">
      <c r="A19" s="27" t="s">
        <v>128</v>
      </c>
      <c r="B19" s="5">
        <v>6.184</v>
      </c>
      <c r="C19" t="s">
        <v>130</v>
      </c>
      <c r="D19" s="40" t="s">
        <v>114</v>
      </c>
      <c r="E19" s="57">
        <f>IF(E17*(12.5)&gt;Formasjon!B7,"TO LONG",12.5*E17)</f>
        <v>12.5</v>
      </c>
      <c r="F19" s="4" t="s">
        <v>17</v>
      </c>
      <c r="G19" s="40" t="s">
        <v>114</v>
      </c>
      <c r="H19" s="57">
        <f>IF(H17*(12.5)&gt;Formasjon!C7,"TO LONG",12.5*H17)</f>
        <v>25</v>
      </c>
      <c r="I19" s="4" t="s">
        <v>17</v>
      </c>
      <c r="J19" s="3" t="s">
        <v>114</v>
      </c>
      <c r="K19" s="57">
        <f>IF(K17*(12.5)&gt;Formasjon!D7,"TO LONG",12.5*K17)</f>
        <v>25</v>
      </c>
      <c r="L19" s="4" t="s">
        <v>17</v>
      </c>
    </row>
    <row r="20" spans="1:12" ht="12.75">
      <c r="A20" s="15"/>
      <c r="B20" s="5">
        <f>B19*0.0254</f>
        <v>0.1570736</v>
      </c>
      <c r="C20" t="s">
        <v>17</v>
      </c>
      <c r="D20" s="72" t="s">
        <v>38</v>
      </c>
      <c r="E20" s="46">
        <f>2*PI()*Formasjon!$B$16*Formasjon!$B$7/(Formasjon!B19*LN(Formasjon!B31/Formasjon!B30))/E17</f>
        <v>1.2726391889170071E-07</v>
      </c>
      <c r="F20" s="6"/>
      <c r="G20" s="72" t="s">
        <v>38</v>
      </c>
      <c r="H20" s="46">
        <f>2*PI()*Formasjon!C16*Formasjon!C7/(Formasjon!C19*LN(Formasjon!B31/Formasjon!B30))/H17</f>
        <v>1.2095987202879238E-07</v>
      </c>
      <c r="I20" s="6"/>
      <c r="J20" s="5" t="s">
        <v>38</v>
      </c>
      <c r="K20" s="46">
        <f>2*PI()*Formasjon!D16*Formasjon!D7/(Formasjon!D19*LN(Formasjon!B31/Formasjon!B30))/K17</f>
        <v>8.509166135942156E-08</v>
      </c>
      <c r="L20" s="6"/>
    </row>
    <row r="21" spans="1:12" ht="12.75">
      <c r="A21" s="27" t="s">
        <v>129</v>
      </c>
      <c r="B21" s="5">
        <v>10000</v>
      </c>
      <c r="C21" t="s">
        <v>17</v>
      </c>
      <c r="D21" s="72" t="s">
        <v>115</v>
      </c>
      <c r="E21" s="46">
        <f>2/Formasjon!B20*(B16*2/3*B11)^2*(PI()*B5)^2</f>
        <v>0.00021339645732689207</v>
      </c>
      <c r="F21" s="6"/>
      <c r="G21" s="72" t="s">
        <v>115</v>
      </c>
      <c r="H21" s="46">
        <f>E21</f>
        <v>0.00021339645732689207</v>
      </c>
      <c r="I21" s="6"/>
      <c r="J21" s="5" t="s">
        <v>115</v>
      </c>
      <c r="K21" s="46">
        <f>H21</f>
        <v>0.00021339645732689207</v>
      </c>
      <c r="L21" s="6"/>
    </row>
    <row r="22" spans="1:12" ht="12.75">
      <c r="A22" s="27" t="s">
        <v>135</v>
      </c>
      <c r="B22" s="5">
        <v>2500</v>
      </c>
      <c r="C22" t="s">
        <v>17</v>
      </c>
      <c r="D22" s="72" t="s">
        <v>108</v>
      </c>
      <c r="E22" s="46">
        <f>2/Formasjon!B20*(2/3*1.5)^2*(PI()*B6)^2</f>
        <v>0.0009043658689708225</v>
      </c>
      <c r="F22" s="6"/>
      <c r="G22" s="72" t="s">
        <v>108</v>
      </c>
      <c r="H22" s="46">
        <f>E22</f>
        <v>0.0009043658689708225</v>
      </c>
      <c r="I22" s="6"/>
      <c r="J22" s="5" t="s">
        <v>108</v>
      </c>
      <c r="K22" s="46">
        <f>H22</f>
        <v>0.0009043658689708225</v>
      </c>
      <c r="L22" s="6"/>
    </row>
    <row r="23" spans="1:12" ht="13.5" thickBot="1">
      <c r="A23" s="84"/>
      <c r="B23" s="5"/>
      <c r="D23" s="7" t="s">
        <v>117</v>
      </c>
      <c r="E23" s="36">
        <f>E16*B18/B17</f>
        <v>0.0019352380952380956</v>
      </c>
      <c r="F23" s="9"/>
      <c r="G23" s="7" t="str">
        <f>D23</f>
        <v>Phi 2</v>
      </c>
      <c r="H23" s="36">
        <f>H16*B18/B17</f>
        <v>0.001838476190476191</v>
      </c>
      <c r="I23" s="9"/>
      <c r="J23" s="8" t="str">
        <f>G23</f>
        <v>Phi 2</v>
      </c>
      <c r="K23" s="36">
        <f>K16*B18/B17</f>
        <v>0.0012579047619047622</v>
      </c>
      <c r="L23" s="9"/>
    </row>
    <row r="24" spans="1:12" ht="12.75">
      <c r="A24" s="84"/>
      <c r="B24" s="5"/>
      <c r="D24" s="5"/>
      <c r="E24" s="46"/>
      <c r="F24" s="5"/>
      <c r="G24" s="5"/>
      <c r="H24" s="46"/>
      <c r="I24" s="5"/>
      <c r="J24" s="5"/>
      <c r="K24" s="46"/>
      <c r="L24" s="5"/>
    </row>
    <row r="25" spans="1:12" ht="12.75">
      <c r="A25" s="84"/>
      <c r="B25" s="5"/>
      <c r="D25" s="5"/>
      <c r="E25" s="46"/>
      <c r="F25" s="5"/>
      <c r="G25" s="5"/>
      <c r="H25" s="46"/>
      <c r="I25" s="5"/>
      <c r="J25" s="5"/>
      <c r="K25" s="46"/>
      <c r="L25" s="5"/>
    </row>
    <row r="26" spans="1:12" ht="12.75">
      <c r="A26" s="84"/>
      <c r="B26" s="5"/>
      <c r="D26" s="5"/>
      <c r="E26" s="46"/>
      <c r="F26" s="5"/>
      <c r="G26" s="5"/>
      <c r="H26" s="46"/>
      <c r="I26" s="5"/>
      <c r="J26" s="5"/>
      <c r="K26" s="46"/>
      <c r="L26" s="5"/>
    </row>
    <row r="27" spans="2:6" ht="24" thickBot="1">
      <c r="B27" s="5"/>
      <c r="F27" s="98" t="s">
        <v>143</v>
      </c>
    </row>
    <row r="28" spans="1:13" ht="12.75">
      <c r="A28" s="81" t="s">
        <v>119</v>
      </c>
      <c r="B28" s="3"/>
      <c r="C28" s="92" t="s">
        <v>120</v>
      </c>
      <c r="D28" s="75" t="s">
        <v>121</v>
      </c>
      <c r="E28" s="78" t="s">
        <v>122</v>
      </c>
      <c r="F28" s="76" t="s">
        <v>123</v>
      </c>
      <c r="G28" s="75"/>
      <c r="H28" s="75" t="s">
        <v>124</v>
      </c>
      <c r="I28" s="75" t="s">
        <v>125</v>
      </c>
      <c r="J28" s="75" t="s">
        <v>26</v>
      </c>
      <c r="K28" s="75" t="s">
        <v>78</v>
      </c>
      <c r="L28" s="75" t="s">
        <v>50</v>
      </c>
      <c r="M28" s="78" t="s">
        <v>61</v>
      </c>
    </row>
    <row r="29" spans="1:13" ht="13.5" thickBot="1">
      <c r="A29" s="77" t="s">
        <v>70</v>
      </c>
      <c r="B29" s="13" t="s">
        <v>80</v>
      </c>
      <c r="C29" s="77"/>
      <c r="D29" s="67"/>
      <c r="E29" s="54"/>
      <c r="F29" s="67" t="s">
        <v>70</v>
      </c>
      <c r="G29" s="67" t="s">
        <v>80</v>
      </c>
      <c r="H29" s="67" t="s">
        <v>80</v>
      </c>
      <c r="I29" s="67" t="s">
        <v>80</v>
      </c>
      <c r="J29" s="67" t="s">
        <v>71</v>
      </c>
      <c r="K29" s="67" t="s">
        <v>80</v>
      </c>
      <c r="L29" s="67"/>
      <c r="M29" s="54" t="s">
        <v>71</v>
      </c>
    </row>
    <row r="30" spans="1:13" ht="12.75">
      <c r="A30" s="23">
        <v>0</v>
      </c>
      <c r="B30" s="82">
        <f>A30/10^5</f>
        <v>0</v>
      </c>
      <c r="C30" s="23">
        <f>-($E$20^2/$E$21+$E$20^2/($E$22*$E$23^2))</f>
        <v>-4.7819442140195855E-06</v>
      </c>
      <c r="D30" s="23">
        <f>1+2*$E$20^2*$B$4/$E$21+2*$E$20^2*$B$4/($E$22*$E$23^2)</f>
        <v>300.349707797626</v>
      </c>
      <c r="E30" s="23">
        <f>-(A30+$E$20^2*$B$4^2/($E$22*$E$23^2)+$E$20^2*$B$4^2/$E$21)</f>
        <v>-4684822927.032847</v>
      </c>
      <c r="F30" s="23">
        <f>(-D30+SQRT(D30^2-4*C30*E30))/(2*C30)</f>
        <v>28844015.576671135</v>
      </c>
      <c r="G30" s="73">
        <f>F30/10^5</f>
        <v>288.44015576671137</v>
      </c>
      <c r="H30" s="24">
        <f>(F30-A30)/10^5</f>
        <v>288.44015576671137</v>
      </c>
      <c r="I30" s="24">
        <f>$B$4/10^5-G30</f>
        <v>24.55984423328863</v>
      </c>
      <c r="J30" s="74">
        <f>$E$20*($B$4-F30)/$E$17</f>
        <v>0.3125582024498051</v>
      </c>
      <c r="K30" s="24">
        <f>I30+H30</f>
        <v>313</v>
      </c>
      <c r="L30" s="23">
        <f>M30/K30</f>
        <v>0.0009985885062294092</v>
      </c>
      <c r="M30">
        <f aca="true" t="shared" si="0" ref="M30:M63">J30*$E$14</f>
        <v>0.3125582024498051</v>
      </c>
    </row>
    <row r="31" spans="1:13" ht="12.75">
      <c r="A31" s="23">
        <f>200*10^5</f>
        <v>20000000</v>
      </c>
      <c r="B31" s="82">
        <f aca="true" t="shared" si="1" ref="B31:B63">A31/10^5</f>
        <v>200</v>
      </c>
      <c r="C31" s="23">
        <f aca="true" t="shared" si="2" ref="C31:C63">-($E$20^2/$E$21+$E$20^2/($E$22*$E$23^2))</f>
        <v>-4.7819442140195855E-06</v>
      </c>
      <c r="D31" s="23">
        <f aca="true" t="shared" si="3" ref="D31:D63">1+2*$E$20^2*$B$4/$E$21+2*$E$20^2*$B$4/($E$22*$E$23^2)</f>
        <v>300.349707797626</v>
      </c>
      <c r="E31" s="23">
        <f aca="true" t="shared" si="4" ref="E31:E63">-(A31+$E$20^2*$B$4^2/($E$22*$E$23^2)+$E$20^2*$B$4^2/$E$21)</f>
        <v>-4704822927.032847</v>
      </c>
      <c r="F31" s="23">
        <f aca="true" t="shared" si="5" ref="F31:F63">(-D31+SQRT(D31^2-4*C31*E31))/(2*C31)</f>
        <v>29863784.729360662</v>
      </c>
      <c r="G31" s="73">
        <f aca="true" t="shared" si="6" ref="G31:G62">F31/10^5</f>
        <v>298.6378472936066</v>
      </c>
      <c r="H31" s="24">
        <f>(F31-A31)/10^5</f>
        <v>98.63784729360663</v>
      </c>
      <c r="I31" s="24">
        <f aca="true" t="shared" si="7" ref="I31:I62">$B$4/10^5-G31</f>
        <v>14.362152706393374</v>
      </c>
      <c r="J31" s="74">
        <f>$E$20*($B$4-F31)/$E$17</f>
        <v>0.18277838371366664</v>
      </c>
      <c r="K31" s="24">
        <f aca="true" t="shared" si="8" ref="K31:K63">I31+H31</f>
        <v>113</v>
      </c>
      <c r="L31" s="23">
        <f aca="true" t="shared" si="9" ref="L31:L62">M31/K31</f>
        <v>0.001617507820474926</v>
      </c>
      <c r="M31">
        <f t="shared" si="0"/>
        <v>0.18277838371366664</v>
      </c>
    </row>
    <row r="32" spans="1:13" ht="12.75">
      <c r="A32" s="23">
        <f>A31+10*10^5</f>
        <v>21000000</v>
      </c>
      <c r="B32" s="82">
        <f t="shared" si="1"/>
        <v>210</v>
      </c>
      <c r="C32" s="23">
        <f t="shared" si="2"/>
        <v>-4.7819442140195855E-06</v>
      </c>
      <c r="D32" s="23">
        <f t="shared" si="3"/>
        <v>300.349707797626</v>
      </c>
      <c r="E32" s="23">
        <f t="shared" si="4"/>
        <v>-4705822927.032847</v>
      </c>
      <c r="F32" s="23">
        <f t="shared" si="5"/>
        <v>29933210.799952142</v>
      </c>
      <c r="G32" s="73">
        <f t="shared" si="6"/>
        <v>299.33210799952144</v>
      </c>
      <c r="H32" s="24">
        <f>(F32-A32)/10^5</f>
        <v>89.33210799952143</v>
      </c>
      <c r="I32" s="24">
        <f t="shared" si="7"/>
        <v>13.66789200047856</v>
      </c>
      <c r="J32" s="74">
        <f aca="true" t="shared" si="10" ref="J32:J63">$E$20*($B$4-F32)/$E$17</f>
        <v>0.17394294989694312</v>
      </c>
      <c r="K32" s="24">
        <f t="shared" si="8"/>
        <v>102.99999999999999</v>
      </c>
      <c r="L32" s="23">
        <f t="shared" si="9"/>
        <v>0.001688766503853817</v>
      </c>
      <c r="M32">
        <f t="shared" si="0"/>
        <v>0.17394294989694312</v>
      </c>
    </row>
    <row r="33" spans="1:13" ht="12.75">
      <c r="A33" s="23">
        <f aca="true" t="shared" si="11" ref="A33:A40">A32+10*10^5</f>
        <v>22000000</v>
      </c>
      <c r="B33" s="82">
        <f t="shared" si="1"/>
        <v>220</v>
      </c>
      <c r="C33" s="23">
        <f t="shared" si="2"/>
        <v>-4.7819442140195855E-06</v>
      </c>
      <c r="D33" s="23">
        <f t="shared" si="3"/>
        <v>300.349707797626</v>
      </c>
      <c r="E33" s="23">
        <f t="shared" si="4"/>
        <v>-4706822927.032847</v>
      </c>
      <c r="F33" s="23">
        <f t="shared" si="5"/>
        <v>30006079.216355197</v>
      </c>
      <c r="G33" s="73">
        <f t="shared" si="6"/>
        <v>300.060792163552</v>
      </c>
      <c r="H33" s="24">
        <f aca="true" t="shared" si="12" ref="H33:H63">(F33-A33)/10^5</f>
        <v>80.06079216355197</v>
      </c>
      <c r="I33" s="24">
        <f t="shared" si="7"/>
        <v>12.93920783644802</v>
      </c>
      <c r="J33" s="74">
        <f t="shared" si="10"/>
        <v>0.16466942966205803</v>
      </c>
      <c r="K33" s="24">
        <f t="shared" si="8"/>
        <v>92.99999999999999</v>
      </c>
      <c r="L33" s="23">
        <f t="shared" si="9"/>
        <v>0.00177063902862428</v>
      </c>
      <c r="M33">
        <f t="shared" si="0"/>
        <v>0.16466942966205803</v>
      </c>
    </row>
    <row r="34" spans="1:13" ht="12.75">
      <c r="A34" s="23">
        <f t="shared" si="11"/>
        <v>23000000</v>
      </c>
      <c r="B34" s="82">
        <f t="shared" si="1"/>
        <v>230</v>
      </c>
      <c r="C34" s="23">
        <f t="shared" si="2"/>
        <v>-4.7819442140195855E-06</v>
      </c>
      <c r="D34" s="23">
        <f t="shared" si="3"/>
        <v>300.349707797626</v>
      </c>
      <c r="E34" s="23">
        <f t="shared" si="4"/>
        <v>-4707822927.032847</v>
      </c>
      <c r="F34" s="23">
        <f t="shared" si="5"/>
        <v>30082959.252489585</v>
      </c>
      <c r="G34" s="73">
        <f t="shared" si="6"/>
        <v>300.8295925248959</v>
      </c>
      <c r="H34" s="24">
        <f t="shared" si="12"/>
        <v>70.82959252489586</v>
      </c>
      <c r="I34" s="24">
        <f t="shared" si="7"/>
        <v>12.170407475104128</v>
      </c>
      <c r="J34" s="74">
        <f t="shared" si="10"/>
        <v>0.15488537497906021</v>
      </c>
      <c r="K34" s="24">
        <f t="shared" si="8"/>
        <v>82.99999999999999</v>
      </c>
      <c r="L34" s="23">
        <f t="shared" si="9"/>
        <v>0.0018660888551694005</v>
      </c>
      <c r="M34">
        <f t="shared" si="0"/>
        <v>0.15488537497906021</v>
      </c>
    </row>
    <row r="35" spans="1:13" ht="12.75">
      <c r="A35" s="23">
        <f t="shared" si="11"/>
        <v>24000000</v>
      </c>
      <c r="B35" s="82">
        <f t="shared" si="1"/>
        <v>240</v>
      </c>
      <c r="C35" s="23">
        <f t="shared" si="2"/>
        <v>-4.7819442140195855E-06</v>
      </c>
      <c r="D35" s="23">
        <f t="shared" si="3"/>
        <v>300.349707797626</v>
      </c>
      <c r="E35" s="23">
        <f t="shared" si="4"/>
        <v>-4708822927.032847</v>
      </c>
      <c r="F35" s="23">
        <f t="shared" si="5"/>
        <v>30164596.867788646</v>
      </c>
      <c r="G35" s="73">
        <f t="shared" si="6"/>
        <v>301.64596867788646</v>
      </c>
      <c r="H35" s="24">
        <f t="shared" si="12"/>
        <v>61.645968677886465</v>
      </c>
      <c r="I35" s="24">
        <f t="shared" si="7"/>
        <v>11.354031322113542</v>
      </c>
      <c r="J35" s="74">
        <f t="shared" si="10"/>
        <v>0.14449585212712865</v>
      </c>
      <c r="K35" s="24">
        <f t="shared" si="8"/>
        <v>73</v>
      </c>
      <c r="L35" s="23">
        <f t="shared" si="9"/>
        <v>0.001979395234618201</v>
      </c>
      <c r="M35">
        <f t="shared" si="0"/>
        <v>0.14449585212712865</v>
      </c>
    </row>
    <row r="36" spans="1:13" ht="12.75">
      <c r="A36" s="23">
        <f t="shared" si="11"/>
        <v>25000000</v>
      </c>
      <c r="B36" s="82">
        <f t="shared" si="1"/>
        <v>250</v>
      </c>
      <c r="C36" s="23">
        <f t="shared" si="2"/>
        <v>-4.7819442140195855E-06</v>
      </c>
      <c r="D36" s="23">
        <f t="shared" si="3"/>
        <v>300.349707797626</v>
      </c>
      <c r="E36" s="23">
        <f t="shared" si="4"/>
        <v>-4709822927.032847</v>
      </c>
      <c r="F36" s="23">
        <f t="shared" si="5"/>
        <v>30252002.58170943</v>
      </c>
      <c r="G36" s="73">
        <f t="shared" si="6"/>
        <v>302.5200258170943</v>
      </c>
      <c r="H36" s="24">
        <f t="shared" si="12"/>
        <v>52.52002581709429</v>
      </c>
      <c r="I36" s="24">
        <f t="shared" si="7"/>
        <v>10.479974182905721</v>
      </c>
      <c r="J36" s="74">
        <f t="shared" si="10"/>
        <v>0.13337225844004288</v>
      </c>
      <c r="K36" s="24">
        <f t="shared" si="8"/>
        <v>63.000000000000014</v>
      </c>
      <c r="L36" s="23">
        <f t="shared" si="9"/>
        <v>0.0021170199752387755</v>
      </c>
      <c r="M36">
        <f t="shared" si="0"/>
        <v>0.13337225844004288</v>
      </c>
    </row>
    <row r="37" spans="1:13" ht="12.75">
      <c r="A37" s="23">
        <f t="shared" si="11"/>
        <v>26000000</v>
      </c>
      <c r="B37" s="82">
        <f t="shared" si="1"/>
        <v>260</v>
      </c>
      <c r="C37" s="23">
        <f t="shared" si="2"/>
        <v>-4.7819442140195855E-06</v>
      </c>
      <c r="D37" s="23">
        <f t="shared" si="3"/>
        <v>300.349707797626</v>
      </c>
      <c r="E37" s="23">
        <f t="shared" si="4"/>
        <v>-4710822927.032847</v>
      </c>
      <c r="F37" s="23">
        <f t="shared" si="5"/>
        <v>30346605.06929268</v>
      </c>
      <c r="G37" s="73">
        <f t="shared" si="6"/>
        <v>303.4660506929268</v>
      </c>
      <c r="H37" s="24">
        <f t="shared" si="12"/>
        <v>43.46605069292679</v>
      </c>
      <c r="I37" s="24">
        <f t="shared" si="7"/>
        <v>9.533949307073215</v>
      </c>
      <c r="J37" s="74">
        <f t="shared" si="10"/>
        <v>0.12133277513329507</v>
      </c>
      <c r="K37" s="24">
        <f t="shared" si="8"/>
        <v>53.00000000000001</v>
      </c>
      <c r="L37" s="23">
        <f t="shared" si="9"/>
        <v>0.002289297644024435</v>
      </c>
      <c r="M37">
        <f t="shared" si="0"/>
        <v>0.12133277513329507</v>
      </c>
    </row>
    <row r="38" spans="1:13" ht="12.75">
      <c r="A38" s="23">
        <f t="shared" si="11"/>
        <v>27000000</v>
      </c>
      <c r="B38" s="82">
        <f t="shared" si="1"/>
        <v>270</v>
      </c>
      <c r="C38" s="23">
        <f t="shared" si="2"/>
        <v>-4.7819442140195855E-06</v>
      </c>
      <c r="D38" s="23">
        <f t="shared" si="3"/>
        <v>300.349707797626</v>
      </c>
      <c r="E38" s="23">
        <f t="shared" si="4"/>
        <v>-4711822927.032847</v>
      </c>
      <c r="F38" s="23">
        <f t="shared" si="5"/>
        <v>30450542.878550053</v>
      </c>
      <c r="G38" s="73">
        <f t="shared" si="6"/>
        <v>304.5054287855005</v>
      </c>
      <c r="H38" s="24">
        <f t="shared" si="12"/>
        <v>34.50542878550053</v>
      </c>
      <c r="I38" s="24">
        <f t="shared" si="7"/>
        <v>8.494571214499501</v>
      </c>
      <c r="J38" s="74">
        <f t="shared" si="10"/>
        <v>0.10810524220618366</v>
      </c>
      <c r="K38" s="24">
        <f t="shared" si="8"/>
        <v>43.00000000000003</v>
      </c>
      <c r="L38" s="23">
        <f t="shared" si="9"/>
        <v>0.0025140754001438045</v>
      </c>
      <c r="M38">
        <f t="shared" si="0"/>
        <v>0.10810524220618366</v>
      </c>
    </row>
    <row r="39" spans="1:13" ht="12.75">
      <c r="A39" s="23">
        <f t="shared" si="11"/>
        <v>28000000</v>
      </c>
      <c r="B39" s="82">
        <f t="shared" si="1"/>
        <v>280</v>
      </c>
      <c r="C39" s="23">
        <f t="shared" si="2"/>
        <v>-4.7819442140195855E-06</v>
      </c>
      <c r="D39" s="23">
        <f t="shared" si="3"/>
        <v>300.349707797626</v>
      </c>
      <c r="E39" s="23">
        <f t="shared" si="4"/>
        <v>-4712822927.032847</v>
      </c>
      <c r="F39" s="23">
        <f t="shared" si="5"/>
        <v>30567285.433226842</v>
      </c>
      <c r="G39" s="73">
        <f t="shared" si="6"/>
        <v>305.6728543322684</v>
      </c>
      <c r="H39" s="24">
        <f t="shared" si="12"/>
        <v>25.672854332268425</v>
      </c>
      <c r="I39" s="24">
        <f t="shared" si="7"/>
        <v>7.3271456677316</v>
      </c>
      <c r="J39" s="74">
        <f t="shared" si="10"/>
        <v>0.09324812719658675</v>
      </c>
      <c r="K39" s="24">
        <f t="shared" si="8"/>
        <v>33.00000000000003</v>
      </c>
      <c r="L39" s="23">
        <f t="shared" si="9"/>
        <v>0.0028257008241389897</v>
      </c>
      <c r="M39">
        <f t="shared" si="0"/>
        <v>0.09324812719658675</v>
      </c>
    </row>
    <row r="40" spans="1:13" ht="12.75">
      <c r="A40" s="23">
        <f t="shared" si="11"/>
        <v>29000000</v>
      </c>
      <c r="B40" s="82">
        <f t="shared" si="1"/>
        <v>290</v>
      </c>
      <c r="C40" s="23">
        <f t="shared" si="2"/>
        <v>-4.7819442140195855E-06</v>
      </c>
      <c r="D40" s="23">
        <f t="shared" si="3"/>
        <v>300.349707797626</v>
      </c>
      <c r="E40" s="23">
        <f t="shared" si="4"/>
        <v>-4713822927.032847</v>
      </c>
      <c r="F40" s="23">
        <f t="shared" si="5"/>
        <v>30703197.945414048</v>
      </c>
      <c r="G40" s="73">
        <f t="shared" si="6"/>
        <v>307.03197945414047</v>
      </c>
      <c r="H40" s="24">
        <f t="shared" si="12"/>
        <v>17.031979454140476</v>
      </c>
      <c r="I40" s="24">
        <f t="shared" si="7"/>
        <v>5.968020545859531</v>
      </c>
      <c r="J40" s="74">
        <f t="shared" si="10"/>
        <v>0.07595136826922698</v>
      </c>
      <c r="K40" s="24">
        <f t="shared" si="8"/>
        <v>23.000000000000007</v>
      </c>
      <c r="L40" s="23">
        <f t="shared" si="9"/>
        <v>0.0033022334030098676</v>
      </c>
      <c r="M40">
        <f t="shared" si="0"/>
        <v>0.07595136826922698</v>
      </c>
    </row>
    <row r="41" spans="1:13" ht="12.75">
      <c r="A41" s="23">
        <f>A40+10^5</f>
        <v>29100000</v>
      </c>
      <c r="B41" s="82">
        <f t="shared" si="1"/>
        <v>291</v>
      </c>
      <c r="C41" s="23">
        <f t="shared" si="2"/>
        <v>-4.7819442140195855E-06</v>
      </c>
      <c r="D41" s="23">
        <f t="shared" si="3"/>
        <v>300.349707797626</v>
      </c>
      <c r="E41" s="23">
        <f t="shared" si="4"/>
        <v>-4713922927.032847</v>
      </c>
      <c r="F41" s="23">
        <f t="shared" si="5"/>
        <v>30718267.981465586</v>
      </c>
      <c r="G41" s="73">
        <f t="shared" si="6"/>
        <v>307.18267981465584</v>
      </c>
      <c r="H41" s="24">
        <f t="shared" si="12"/>
        <v>16.182679814655856</v>
      </c>
      <c r="I41" s="24">
        <f t="shared" si="7"/>
        <v>5.817320185344158</v>
      </c>
      <c r="J41" s="74">
        <f t="shared" si="10"/>
        <v>0.07403349642346906</v>
      </c>
      <c r="K41" s="24">
        <f t="shared" si="8"/>
        <v>22.000000000000014</v>
      </c>
      <c r="L41" s="23">
        <f t="shared" si="9"/>
        <v>0.0033651589283395004</v>
      </c>
      <c r="M41">
        <f t="shared" si="0"/>
        <v>0.07403349642346906</v>
      </c>
    </row>
    <row r="42" spans="1:13" ht="12.75">
      <c r="A42" s="23">
        <f aca="true" t="shared" si="13" ref="A42:A63">A41+10^5</f>
        <v>29200000</v>
      </c>
      <c r="B42" s="82">
        <f t="shared" si="1"/>
        <v>292</v>
      </c>
      <c r="C42" s="23">
        <f t="shared" si="2"/>
        <v>-4.7819442140195855E-06</v>
      </c>
      <c r="D42" s="23">
        <f t="shared" si="3"/>
        <v>300.349707797626</v>
      </c>
      <c r="E42" s="23">
        <f t="shared" si="4"/>
        <v>-4714022927.032847</v>
      </c>
      <c r="F42" s="23">
        <f t="shared" si="5"/>
        <v>30733676.44990897</v>
      </c>
      <c r="G42" s="73">
        <f t="shared" si="6"/>
        <v>307.3367644990897</v>
      </c>
      <c r="H42" s="24">
        <f t="shared" si="12"/>
        <v>15.336764499089718</v>
      </c>
      <c r="I42" s="24">
        <f t="shared" si="7"/>
        <v>5.663235500910275</v>
      </c>
      <c r="J42" s="74">
        <f t="shared" si="10"/>
        <v>0.07207255434524462</v>
      </c>
      <c r="K42" s="24">
        <f t="shared" si="8"/>
        <v>20.999999999999993</v>
      </c>
      <c r="L42" s="23">
        <f t="shared" si="9"/>
        <v>0.0034320263973926022</v>
      </c>
      <c r="M42">
        <f t="shared" si="0"/>
        <v>0.07207255434524462</v>
      </c>
    </row>
    <row r="43" spans="1:13" ht="12.75">
      <c r="A43" s="23">
        <f t="shared" si="13"/>
        <v>29300000</v>
      </c>
      <c r="B43" s="82">
        <f t="shared" si="1"/>
        <v>293</v>
      </c>
      <c r="C43" s="23">
        <f t="shared" si="2"/>
        <v>-4.7819442140195855E-06</v>
      </c>
      <c r="D43" s="23">
        <f t="shared" si="3"/>
        <v>300.349707797626</v>
      </c>
      <c r="E43" s="23">
        <f t="shared" si="4"/>
        <v>-4714122927.032847</v>
      </c>
      <c r="F43" s="23">
        <f t="shared" si="5"/>
        <v>30749447.23043426</v>
      </c>
      <c r="G43" s="73">
        <f t="shared" si="6"/>
        <v>307.4944723043426</v>
      </c>
      <c r="H43" s="24">
        <f t="shared" si="12"/>
        <v>14.494472304342613</v>
      </c>
      <c r="I43" s="24">
        <f t="shared" si="7"/>
        <v>5.505527695657406</v>
      </c>
      <c r="J43" s="74">
        <f t="shared" si="10"/>
        <v>0.07006550301161536</v>
      </c>
      <c r="K43" s="24">
        <f t="shared" si="8"/>
        <v>20.00000000000002</v>
      </c>
      <c r="L43" s="23">
        <f t="shared" si="9"/>
        <v>0.0035032751505807646</v>
      </c>
      <c r="M43">
        <f t="shared" si="0"/>
        <v>0.07006550301161536</v>
      </c>
    </row>
    <row r="44" spans="1:13" ht="12.75">
      <c r="A44" s="23">
        <f t="shared" si="13"/>
        <v>29400000</v>
      </c>
      <c r="B44" s="82">
        <f t="shared" si="1"/>
        <v>294</v>
      </c>
      <c r="C44" s="23">
        <f t="shared" si="2"/>
        <v>-4.7819442140195855E-06</v>
      </c>
      <c r="D44" s="23">
        <f t="shared" si="3"/>
        <v>300.349707797626</v>
      </c>
      <c r="E44" s="23">
        <f t="shared" si="4"/>
        <v>-4714222927.032847</v>
      </c>
      <c r="F44" s="23">
        <f t="shared" si="5"/>
        <v>30765607.150488053</v>
      </c>
      <c r="G44" s="73">
        <f t="shared" si="6"/>
        <v>307.6560715048805</v>
      </c>
      <c r="H44" s="24">
        <f t="shared" si="12"/>
        <v>13.656071504880526</v>
      </c>
      <c r="I44" s="24">
        <f t="shared" si="7"/>
        <v>5.343928495119485</v>
      </c>
      <c r="J44" s="74">
        <f t="shared" si="10"/>
        <v>0.06800892825659331</v>
      </c>
      <c r="K44" s="24">
        <f t="shared" si="8"/>
        <v>19.00000000000001</v>
      </c>
      <c r="L44" s="23">
        <f t="shared" si="9"/>
        <v>0.003579417276662804</v>
      </c>
      <c r="M44">
        <f t="shared" si="0"/>
        <v>0.06800892825659331</v>
      </c>
    </row>
    <row r="45" spans="1:13" ht="12.75">
      <c r="A45" s="23">
        <f t="shared" si="13"/>
        <v>29500000</v>
      </c>
      <c r="B45" s="82">
        <f t="shared" si="1"/>
        <v>295</v>
      </c>
      <c r="C45" s="23">
        <f t="shared" si="2"/>
        <v>-4.7819442140195855E-06</v>
      </c>
      <c r="D45" s="23">
        <f t="shared" si="3"/>
        <v>300.349707797626</v>
      </c>
      <c r="E45" s="23">
        <f t="shared" si="4"/>
        <v>-4714322927.032847</v>
      </c>
      <c r="F45" s="23">
        <f t="shared" si="5"/>
        <v>30782186.521343075</v>
      </c>
      <c r="G45" s="73">
        <f t="shared" si="6"/>
        <v>307.8218652134307</v>
      </c>
      <c r="H45" s="24">
        <f t="shared" si="12"/>
        <v>12.821865213430748</v>
      </c>
      <c r="I45" s="24">
        <f t="shared" si="7"/>
        <v>5.178134786569274</v>
      </c>
      <c r="J45" s="74">
        <f t="shared" si="10"/>
        <v>0.06589897254882433</v>
      </c>
      <c r="K45" s="24">
        <f t="shared" si="8"/>
        <v>18.00000000000002</v>
      </c>
      <c r="L45" s="23">
        <f t="shared" si="9"/>
        <v>0.0036610540304902366</v>
      </c>
      <c r="M45">
        <f t="shared" si="0"/>
        <v>0.06589897254882433</v>
      </c>
    </row>
    <row r="46" spans="1:13" ht="12.75">
      <c r="A46" s="23">
        <f t="shared" si="13"/>
        <v>29600000</v>
      </c>
      <c r="B46" s="82">
        <f t="shared" si="1"/>
        <v>296</v>
      </c>
      <c r="C46" s="23">
        <f t="shared" si="2"/>
        <v>-4.7819442140195855E-06</v>
      </c>
      <c r="D46" s="23">
        <f t="shared" si="3"/>
        <v>300.349707797626</v>
      </c>
      <c r="E46" s="23">
        <f t="shared" si="4"/>
        <v>-4714422927.032847</v>
      </c>
      <c r="F46" s="23">
        <f t="shared" si="5"/>
        <v>30799219.806426924</v>
      </c>
      <c r="G46" s="73">
        <f t="shared" si="6"/>
        <v>307.99219806426925</v>
      </c>
      <c r="H46" s="24">
        <f t="shared" si="12"/>
        <v>11.992198064269237</v>
      </c>
      <c r="I46" s="24">
        <f t="shared" si="7"/>
        <v>5.007801935730754</v>
      </c>
      <c r="J46" s="74">
        <f t="shared" si="10"/>
        <v>0.06373124993745416</v>
      </c>
      <c r="K46" s="24">
        <f t="shared" si="8"/>
        <v>16.999999999999993</v>
      </c>
      <c r="L46" s="23">
        <f t="shared" si="9"/>
        <v>0.003748897055144364</v>
      </c>
      <c r="M46">
        <f t="shared" si="0"/>
        <v>0.06373124993745416</v>
      </c>
    </row>
    <row r="47" spans="1:13" ht="12.75">
      <c r="A47" s="23">
        <f t="shared" si="13"/>
        <v>29700000</v>
      </c>
      <c r="B47" s="82">
        <f t="shared" si="1"/>
        <v>297</v>
      </c>
      <c r="C47" s="23">
        <f t="shared" si="2"/>
        <v>-4.7819442140195855E-06</v>
      </c>
      <c r="D47" s="23">
        <f t="shared" si="3"/>
        <v>300.349707797626</v>
      </c>
      <c r="E47" s="23">
        <f t="shared" si="4"/>
        <v>-4714522927.032847</v>
      </c>
      <c r="F47" s="23">
        <f t="shared" si="5"/>
        <v>30816746.46412614</v>
      </c>
      <c r="G47" s="73">
        <f t="shared" si="6"/>
        <v>308.1674646412614</v>
      </c>
      <c r="H47" s="24">
        <f t="shared" si="12"/>
        <v>11.167464641261398</v>
      </c>
      <c r="I47" s="24">
        <f t="shared" si="7"/>
        <v>4.832535358738596</v>
      </c>
      <c r="J47" s="74">
        <f t="shared" si="10"/>
        <v>0.061500738793578515</v>
      </c>
      <c r="K47" s="24">
        <f t="shared" si="8"/>
        <v>15.999999999999995</v>
      </c>
      <c r="L47" s="23">
        <f t="shared" si="9"/>
        <v>0.0038437961745986585</v>
      </c>
      <c r="M47">
        <f t="shared" si="0"/>
        <v>0.061500738793578515</v>
      </c>
    </row>
    <row r="48" spans="1:13" ht="12.75">
      <c r="A48" s="23">
        <f t="shared" si="13"/>
        <v>29800000</v>
      </c>
      <c r="B48" s="82">
        <f t="shared" si="1"/>
        <v>298</v>
      </c>
      <c r="C48" s="23">
        <f t="shared" si="2"/>
        <v>-4.7819442140195855E-06</v>
      </c>
      <c r="D48" s="23">
        <f t="shared" si="3"/>
        <v>300.349707797626</v>
      </c>
      <c r="E48" s="23">
        <f t="shared" si="4"/>
        <v>-4714622927.032847</v>
      </c>
      <c r="F48" s="23">
        <f t="shared" si="5"/>
        <v>30834812.024190933</v>
      </c>
      <c r="G48" s="73">
        <f t="shared" si="6"/>
        <v>308.3481202419093</v>
      </c>
      <c r="H48" s="24">
        <f t="shared" si="12"/>
        <v>10.348120241909324</v>
      </c>
      <c r="I48" s="24">
        <f t="shared" si="7"/>
        <v>4.651879758090672</v>
      </c>
      <c r="J48" s="74">
        <f t="shared" si="10"/>
        <v>0.0592016448227596</v>
      </c>
      <c r="K48" s="24">
        <f t="shared" si="8"/>
        <v>14.999999999999996</v>
      </c>
      <c r="L48" s="23">
        <f t="shared" si="9"/>
        <v>0.0039467763215173075</v>
      </c>
      <c r="M48">
        <f t="shared" si="0"/>
        <v>0.0592016448227596</v>
      </c>
    </row>
    <row r="49" spans="1:13" ht="12.75">
      <c r="A49" s="23">
        <f t="shared" si="13"/>
        <v>29900000</v>
      </c>
      <c r="B49" s="82">
        <f t="shared" si="1"/>
        <v>299</v>
      </c>
      <c r="C49" s="23">
        <f t="shared" si="2"/>
        <v>-4.7819442140195855E-06</v>
      </c>
      <c r="D49" s="23">
        <f t="shared" si="3"/>
        <v>300.349707797626</v>
      </c>
      <c r="E49" s="23">
        <f t="shared" si="4"/>
        <v>-4714722927.032847</v>
      </c>
      <c r="F49" s="23">
        <f t="shared" si="5"/>
        <v>30853469.482118428</v>
      </c>
      <c r="G49" s="73">
        <f t="shared" si="6"/>
        <v>308.5346948211843</v>
      </c>
      <c r="H49" s="24">
        <f t="shared" si="12"/>
        <v>9.534694821184278</v>
      </c>
      <c r="I49" s="24">
        <f t="shared" si="7"/>
        <v>4.465305178815697</v>
      </c>
      <c r="J49" s="74">
        <f t="shared" si="10"/>
        <v>0.056827223610349524</v>
      </c>
      <c r="K49" s="24">
        <f t="shared" si="8"/>
        <v>13.999999999999975</v>
      </c>
      <c r="L49" s="23">
        <f t="shared" si="9"/>
        <v>0.004059087400739259</v>
      </c>
      <c r="M49">
        <f t="shared" si="0"/>
        <v>0.056827223610349524</v>
      </c>
    </row>
    <row r="50" spans="1:13" s="25" customFormat="1" ht="12.75">
      <c r="A50" s="85">
        <f t="shared" si="13"/>
        <v>30000000</v>
      </c>
      <c r="B50" s="85">
        <f t="shared" si="1"/>
        <v>300</v>
      </c>
      <c r="C50" s="85">
        <f t="shared" si="2"/>
        <v>-4.7819442140195855E-06</v>
      </c>
      <c r="D50" s="85">
        <f t="shared" si="3"/>
        <v>300.349707797626</v>
      </c>
      <c r="E50" s="85">
        <f t="shared" si="4"/>
        <v>-4714822927.032847</v>
      </c>
      <c r="F50" s="23">
        <f t="shared" si="5"/>
        <v>30872781.134459578</v>
      </c>
      <c r="G50" s="86">
        <f t="shared" si="6"/>
        <v>308.72781134459575</v>
      </c>
      <c r="H50" s="87">
        <f t="shared" si="12"/>
        <v>8.727811344595775</v>
      </c>
      <c r="I50" s="87">
        <f t="shared" si="7"/>
        <v>4.27218865540425</v>
      </c>
      <c r="J50" s="74">
        <f t="shared" si="10"/>
        <v>0.054369547053140725</v>
      </c>
      <c r="K50" s="87">
        <f t="shared" si="8"/>
        <v>13.000000000000025</v>
      </c>
      <c r="L50" s="85">
        <f t="shared" si="9"/>
        <v>0.004182272850241586</v>
      </c>
      <c r="M50" s="25">
        <f t="shared" si="0"/>
        <v>0.054369547053140725</v>
      </c>
    </row>
    <row r="51" spans="1:13" ht="12.75">
      <c r="A51" s="23">
        <f t="shared" si="13"/>
        <v>30100000</v>
      </c>
      <c r="B51" s="82">
        <f t="shared" si="1"/>
        <v>301</v>
      </c>
      <c r="C51" s="23">
        <f t="shared" si="2"/>
        <v>-4.7819442140195855E-06</v>
      </c>
      <c r="D51" s="23">
        <f t="shared" si="3"/>
        <v>300.349707797626</v>
      </c>
      <c r="E51" s="23">
        <f t="shared" si="4"/>
        <v>-4714922927.032847</v>
      </c>
      <c r="F51" s="23">
        <f t="shared" si="5"/>
        <v>30892821.03847215</v>
      </c>
      <c r="G51" s="73">
        <f t="shared" si="6"/>
        <v>308.92821038472147</v>
      </c>
      <c r="H51" s="24">
        <f t="shared" si="12"/>
        <v>7.9282103847214955</v>
      </c>
      <c r="I51" s="24">
        <f t="shared" si="7"/>
        <v>4.071789615278533</v>
      </c>
      <c r="J51" s="74">
        <f t="shared" si="10"/>
        <v>0.051819190334287286</v>
      </c>
      <c r="K51" s="24">
        <f t="shared" si="8"/>
        <v>12.000000000000028</v>
      </c>
      <c r="L51" s="23">
        <f t="shared" si="9"/>
        <v>0.004318265861190597</v>
      </c>
      <c r="M51">
        <f t="shared" si="0"/>
        <v>0.051819190334287286</v>
      </c>
    </row>
    <row r="52" spans="1:13" ht="12.75">
      <c r="A52" s="23">
        <f t="shared" si="13"/>
        <v>30200000</v>
      </c>
      <c r="B52" s="82">
        <f t="shared" si="1"/>
        <v>302</v>
      </c>
      <c r="C52" s="23">
        <f t="shared" si="2"/>
        <v>-4.7819442140195855E-06</v>
      </c>
      <c r="D52" s="23">
        <f t="shared" si="3"/>
        <v>300.349707797626</v>
      </c>
      <c r="E52" s="23">
        <f t="shared" si="4"/>
        <v>-4715022927.032847</v>
      </c>
      <c r="F52" s="23">
        <f t="shared" si="5"/>
        <v>30913678.37717634</v>
      </c>
      <c r="G52" s="73">
        <f t="shared" si="6"/>
        <v>309.1367837717634</v>
      </c>
      <c r="H52" s="24">
        <f t="shared" si="12"/>
        <v>7.136783771763406</v>
      </c>
      <c r="I52" s="24">
        <f t="shared" si="7"/>
        <v>3.863216228236581</v>
      </c>
      <c r="J52" s="74">
        <f t="shared" si="10"/>
        <v>0.04916480367314038</v>
      </c>
      <c r="K52" s="24">
        <f t="shared" si="8"/>
        <v>10.999999999999988</v>
      </c>
      <c r="L52" s="23">
        <f t="shared" si="9"/>
        <v>0.00446952760664913</v>
      </c>
      <c r="M52">
        <f t="shared" si="0"/>
        <v>0.04916480367314038</v>
      </c>
    </row>
    <row r="53" spans="1:13" ht="12.75">
      <c r="A53" s="23">
        <f t="shared" si="13"/>
        <v>30300000</v>
      </c>
      <c r="B53" s="82">
        <f t="shared" si="1"/>
        <v>303</v>
      </c>
      <c r="C53" s="23">
        <f t="shared" si="2"/>
        <v>-4.7819442140195855E-06</v>
      </c>
      <c r="D53" s="23">
        <f t="shared" si="3"/>
        <v>300.349707797626</v>
      </c>
      <c r="E53" s="23">
        <f t="shared" si="4"/>
        <v>-4715122927.032847</v>
      </c>
      <c r="F53" s="23">
        <f t="shared" si="5"/>
        <v>30935462.17387771</v>
      </c>
      <c r="G53" s="73">
        <f t="shared" si="6"/>
        <v>309.3546217387771</v>
      </c>
      <c r="H53" s="24">
        <f t="shared" si="12"/>
        <v>6.3546217387770865</v>
      </c>
      <c r="I53" s="24">
        <f t="shared" si="7"/>
        <v>3.645378261222902</v>
      </c>
      <c r="J53" s="74">
        <f t="shared" si="10"/>
        <v>0.04639251233658419</v>
      </c>
      <c r="K53" s="24">
        <f t="shared" si="8"/>
        <v>9.99999999999999</v>
      </c>
      <c r="L53" s="23">
        <f t="shared" si="9"/>
        <v>0.004639251233658424</v>
      </c>
      <c r="M53">
        <f t="shared" si="0"/>
        <v>0.04639251233658419</v>
      </c>
    </row>
    <row r="54" spans="1:13" ht="12.75">
      <c r="A54" s="23">
        <f t="shared" si="13"/>
        <v>30400000</v>
      </c>
      <c r="B54" s="82">
        <f t="shared" si="1"/>
        <v>304</v>
      </c>
      <c r="C54" s="23">
        <f t="shared" si="2"/>
        <v>-4.7819442140195855E-06</v>
      </c>
      <c r="D54" s="23">
        <f t="shared" si="3"/>
        <v>300.349707797626</v>
      </c>
      <c r="E54" s="23">
        <f t="shared" si="4"/>
        <v>-4715222927.032847</v>
      </c>
      <c r="F54" s="23">
        <f t="shared" si="5"/>
        <v>30958308.0831632</v>
      </c>
      <c r="G54" s="73">
        <f t="shared" si="6"/>
        <v>309.583080831632</v>
      </c>
      <c r="H54" s="24">
        <f t="shared" si="12"/>
        <v>5.583080831632018</v>
      </c>
      <c r="I54" s="24">
        <f t="shared" si="7"/>
        <v>3.416919168367997</v>
      </c>
      <c r="J54" s="74">
        <f t="shared" si="10"/>
        <v>0.04348505239026803</v>
      </c>
      <c r="K54" s="24">
        <f t="shared" si="8"/>
        <v>9.000000000000014</v>
      </c>
      <c r="L54" s="23">
        <f t="shared" si="9"/>
        <v>0.004831672487807551</v>
      </c>
      <c r="M54">
        <f t="shared" si="0"/>
        <v>0.04348505239026803</v>
      </c>
    </row>
    <row r="55" spans="1:13" ht="12.75">
      <c r="A55" s="23">
        <f>A54+10^5</f>
        <v>30500000</v>
      </c>
      <c r="B55" s="82">
        <f t="shared" si="1"/>
        <v>305</v>
      </c>
      <c r="C55" s="23">
        <f t="shared" si="2"/>
        <v>-4.7819442140195855E-06</v>
      </c>
      <c r="D55" s="23">
        <f t="shared" si="3"/>
        <v>300.349707797626</v>
      </c>
      <c r="E55" s="23">
        <f t="shared" si="4"/>
        <v>-4715322927.032847</v>
      </c>
      <c r="F55" s="23">
        <f t="shared" si="5"/>
        <v>30982388.499252256</v>
      </c>
      <c r="G55" s="73">
        <f t="shared" si="6"/>
        <v>309.82388499252255</v>
      </c>
      <c r="H55" s="24">
        <f t="shared" si="12"/>
        <v>4.82388499252256</v>
      </c>
      <c r="I55" s="24">
        <f t="shared" si="7"/>
        <v>3.176115007477449</v>
      </c>
      <c r="J55" s="74">
        <f t="shared" si="10"/>
        <v>0.04042048427023223</v>
      </c>
      <c r="K55" s="24">
        <f t="shared" si="8"/>
        <v>8.000000000000009</v>
      </c>
      <c r="L55" s="23">
        <f t="shared" si="9"/>
        <v>0.005052560533779024</v>
      </c>
      <c r="M55">
        <f t="shared" si="0"/>
        <v>0.04042048427023223</v>
      </c>
    </row>
    <row r="56" spans="1:13" ht="12.75">
      <c r="A56" s="23">
        <f t="shared" si="13"/>
        <v>30600000</v>
      </c>
      <c r="B56" s="82">
        <f t="shared" si="1"/>
        <v>306</v>
      </c>
      <c r="C56" s="23">
        <f t="shared" si="2"/>
        <v>-4.7819442140195855E-06</v>
      </c>
      <c r="D56" s="23">
        <f t="shared" si="3"/>
        <v>300.349707797626</v>
      </c>
      <c r="E56" s="23">
        <f t="shared" si="4"/>
        <v>-4715422927.032847</v>
      </c>
      <c r="F56" s="23">
        <f t="shared" si="5"/>
        <v>31007928.20758595</v>
      </c>
      <c r="G56" s="73">
        <f t="shared" si="6"/>
        <v>310.0792820758595</v>
      </c>
      <c r="H56" s="24">
        <f t="shared" si="12"/>
        <v>4.079282075859495</v>
      </c>
      <c r="I56" s="24">
        <f t="shared" si="7"/>
        <v>2.92071792414049</v>
      </c>
      <c r="J56" s="74">
        <f t="shared" si="10"/>
        <v>0.037170200900335376</v>
      </c>
      <c r="K56" s="24">
        <f t="shared" si="8"/>
        <v>6.999999999999985</v>
      </c>
      <c r="L56" s="23">
        <f t="shared" si="9"/>
        <v>0.005310028700047922</v>
      </c>
      <c r="M56">
        <f t="shared" si="0"/>
        <v>0.037170200900335376</v>
      </c>
    </row>
    <row r="57" spans="1:13" ht="12.75">
      <c r="A57" s="23">
        <f>A56+10^5</f>
        <v>30700000</v>
      </c>
      <c r="B57" s="82">
        <f t="shared" si="1"/>
        <v>307</v>
      </c>
      <c r="C57" s="23">
        <f t="shared" si="2"/>
        <v>-4.7819442140195855E-06</v>
      </c>
      <c r="D57" s="23">
        <f t="shared" si="3"/>
        <v>300.349707797626</v>
      </c>
      <c r="E57" s="23">
        <f t="shared" si="4"/>
        <v>-4715522927.032847</v>
      </c>
      <c r="F57" s="23">
        <f t="shared" si="5"/>
        <v>31035229.820621938</v>
      </c>
      <c r="G57" s="73">
        <f t="shared" si="6"/>
        <v>310.35229820621936</v>
      </c>
      <c r="H57" s="24">
        <f t="shared" si="12"/>
        <v>3.352298206219375</v>
      </c>
      <c r="I57" s="24">
        <f t="shared" si="7"/>
        <v>2.647701793780641</v>
      </c>
      <c r="J57" s="74">
        <f t="shared" si="10"/>
        <v>0.03369569063331079</v>
      </c>
      <c r="K57" s="24">
        <f>I57+H57</f>
        <v>6.000000000000016</v>
      </c>
      <c r="L57" s="23">
        <f t="shared" si="9"/>
        <v>0.005615948438885117</v>
      </c>
      <c r="M57">
        <f t="shared" si="0"/>
        <v>0.03369569063331079</v>
      </c>
    </row>
    <row r="58" spans="1:13" ht="12.75">
      <c r="A58" s="23">
        <f t="shared" si="13"/>
        <v>30800000</v>
      </c>
      <c r="B58" s="82">
        <f t="shared" si="1"/>
        <v>308</v>
      </c>
      <c r="C58" s="23">
        <f t="shared" si="2"/>
        <v>-4.7819442140195855E-06</v>
      </c>
      <c r="D58" s="23">
        <f t="shared" si="3"/>
        <v>300.349707797626</v>
      </c>
      <c r="E58" s="23">
        <f t="shared" si="4"/>
        <v>-4715622927.032847</v>
      </c>
      <c r="F58" s="23">
        <f t="shared" si="5"/>
        <v>31064717.707214713</v>
      </c>
      <c r="G58" s="73">
        <f t="shared" si="6"/>
        <v>310.64717707214714</v>
      </c>
      <c r="H58" s="24">
        <f t="shared" si="12"/>
        <v>2.647177072147131</v>
      </c>
      <c r="I58" s="24">
        <f t="shared" si="7"/>
        <v>2.3528229278528556</v>
      </c>
      <c r="J58" s="74">
        <f t="shared" si="10"/>
        <v>0.029942946625680134</v>
      </c>
      <c r="K58" s="24">
        <f t="shared" si="8"/>
        <v>4.999999999999987</v>
      </c>
      <c r="L58" s="23">
        <f t="shared" si="9"/>
        <v>0.005988589325136043</v>
      </c>
      <c r="M58">
        <f t="shared" si="0"/>
        <v>0.029942946625680134</v>
      </c>
    </row>
    <row r="59" spans="1:13" ht="12.75">
      <c r="A59" s="23">
        <f t="shared" si="13"/>
        <v>30900000</v>
      </c>
      <c r="B59" s="82">
        <f t="shared" si="1"/>
        <v>309</v>
      </c>
      <c r="C59" s="23">
        <f t="shared" si="2"/>
        <v>-4.7819442140195855E-06</v>
      </c>
      <c r="D59" s="23">
        <f t="shared" si="3"/>
        <v>300.349707797626</v>
      </c>
      <c r="E59" s="23">
        <f t="shared" si="4"/>
        <v>-4715722927.032847</v>
      </c>
      <c r="F59" s="23">
        <f t="shared" si="5"/>
        <v>31097020.105954673</v>
      </c>
      <c r="G59" s="73">
        <f t="shared" si="6"/>
        <v>310.97020105954675</v>
      </c>
      <c r="H59" s="24">
        <f t="shared" si="12"/>
        <v>1.9702010595467314</v>
      </c>
      <c r="I59" s="24">
        <f t="shared" si="7"/>
        <v>2.0297989404532473</v>
      </c>
      <c r="J59" s="74">
        <f t="shared" si="10"/>
        <v>0.025832016772430483</v>
      </c>
      <c r="K59" s="24">
        <f t="shared" si="8"/>
        <v>3.9999999999999787</v>
      </c>
      <c r="L59" s="23">
        <f t="shared" si="9"/>
        <v>0.0064580041931076556</v>
      </c>
      <c r="M59">
        <f t="shared" si="0"/>
        <v>0.025832016772430483</v>
      </c>
    </row>
    <row r="60" spans="1:13" ht="12.75">
      <c r="A60" s="23">
        <f t="shared" si="13"/>
        <v>31000000</v>
      </c>
      <c r="B60" s="82">
        <f t="shared" si="1"/>
        <v>310</v>
      </c>
      <c r="C60" s="23">
        <f t="shared" si="2"/>
        <v>-4.7819442140195855E-06</v>
      </c>
      <c r="D60" s="23">
        <f t="shared" si="3"/>
        <v>300.349707797626</v>
      </c>
      <c r="E60" s="23">
        <f t="shared" si="4"/>
        <v>-4715822927.032847</v>
      </c>
      <c r="F60" s="23">
        <f t="shared" si="5"/>
        <v>31133140.05092785</v>
      </c>
      <c r="G60" s="73">
        <f t="shared" si="6"/>
        <v>311.3314005092785</v>
      </c>
      <c r="H60" s="24">
        <f t="shared" si="12"/>
        <v>1.3314005092785135</v>
      </c>
      <c r="I60" s="24">
        <f t="shared" si="7"/>
        <v>1.6685994907214763</v>
      </c>
      <c r="J60" s="74">
        <f t="shared" si="10"/>
        <v>0.02123525102499124</v>
      </c>
      <c r="K60" s="24">
        <f t="shared" si="8"/>
        <v>2.99999999999999</v>
      </c>
      <c r="L60" s="23">
        <f t="shared" si="9"/>
        <v>0.007078417008330437</v>
      </c>
      <c r="M60">
        <f t="shared" si="0"/>
        <v>0.02123525102499124</v>
      </c>
    </row>
    <row r="61" spans="1:13" ht="12.75">
      <c r="A61" s="23">
        <f t="shared" si="13"/>
        <v>31100000</v>
      </c>
      <c r="B61" s="82">
        <f t="shared" si="1"/>
        <v>311</v>
      </c>
      <c r="C61" s="23">
        <f t="shared" si="2"/>
        <v>-4.7819442140195855E-06</v>
      </c>
      <c r="D61" s="23">
        <f t="shared" si="3"/>
        <v>300.349707797626</v>
      </c>
      <c r="E61" s="23">
        <f t="shared" si="4"/>
        <v>-4715922927.032847</v>
      </c>
      <c r="F61" s="23">
        <f t="shared" si="5"/>
        <v>31174871.53517206</v>
      </c>
      <c r="G61" s="73">
        <f t="shared" si="6"/>
        <v>311.7487153517206</v>
      </c>
      <c r="H61" s="24">
        <f t="shared" si="12"/>
        <v>0.7487153517206013</v>
      </c>
      <c r="I61" s="24">
        <f t="shared" si="7"/>
        <v>1.2512846482794089</v>
      </c>
      <c r="J61" s="74">
        <f t="shared" si="10"/>
        <v>0.015924338798905965</v>
      </c>
      <c r="K61" s="24">
        <f t="shared" si="8"/>
        <v>2.00000000000001</v>
      </c>
      <c r="L61" s="23">
        <f t="shared" si="9"/>
        <v>0.007962169399452943</v>
      </c>
      <c r="M61">
        <f t="shared" si="0"/>
        <v>0.015924338798905965</v>
      </c>
    </row>
    <row r="62" spans="1:13" ht="12.75">
      <c r="A62" s="23">
        <f t="shared" si="13"/>
        <v>31200000</v>
      </c>
      <c r="B62" s="82">
        <f t="shared" si="1"/>
        <v>312</v>
      </c>
      <c r="C62" s="23">
        <f t="shared" si="2"/>
        <v>-4.7819442140195855E-06</v>
      </c>
      <c r="D62" s="23">
        <f t="shared" si="3"/>
        <v>300.349707797626</v>
      </c>
      <c r="E62" s="23">
        <f t="shared" si="4"/>
        <v>-4716022927.032847</v>
      </c>
      <c r="F62" s="23">
        <f t="shared" si="5"/>
        <v>31226108.906841166</v>
      </c>
      <c r="G62" s="73">
        <f t="shared" si="6"/>
        <v>312.26108906841165</v>
      </c>
      <c r="H62" s="24">
        <f t="shared" si="12"/>
        <v>0.2610890684116632</v>
      </c>
      <c r="I62" s="24">
        <f t="shared" si="7"/>
        <v>0.7389109315883502</v>
      </c>
      <c r="J62" s="74">
        <f t="shared" si="10"/>
        <v>0.00940367008658491</v>
      </c>
      <c r="K62" s="24">
        <f t="shared" si="8"/>
        <v>1.0000000000000133</v>
      </c>
      <c r="L62" s="23">
        <f t="shared" si="9"/>
        <v>0.009403670086584786</v>
      </c>
      <c r="M62">
        <f t="shared" si="0"/>
        <v>0.00940367008658491</v>
      </c>
    </row>
    <row r="63" spans="1:13" ht="12.75">
      <c r="A63" s="23">
        <f t="shared" si="13"/>
        <v>31300000</v>
      </c>
      <c r="B63" s="82">
        <f t="shared" si="1"/>
        <v>313</v>
      </c>
      <c r="C63" s="23">
        <f t="shared" si="2"/>
        <v>-4.7819442140195855E-06</v>
      </c>
      <c r="D63" s="23">
        <f t="shared" si="3"/>
        <v>300.349707797626</v>
      </c>
      <c r="E63" s="23">
        <f t="shared" si="4"/>
        <v>-4716122927.032847</v>
      </c>
      <c r="F63" s="23">
        <f t="shared" si="5"/>
        <v>31300000.000000756</v>
      </c>
      <c r="G63" s="23">
        <f>F63/10^5</f>
        <v>313.00000000000756</v>
      </c>
      <c r="H63" s="24">
        <f t="shared" si="12"/>
        <v>7.562339305877686E-12</v>
      </c>
      <c r="I63" s="24">
        <f>$B$4/10^5-G63</f>
        <v>-7.560174708487466E-12</v>
      </c>
      <c r="J63" s="74">
        <f t="shared" si="10"/>
        <v>-9.624129360547381E-14</v>
      </c>
      <c r="K63" s="24">
        <f t="shared" si="8"/>
        <v>2.1645973902200174E-15</v>
      </c>
      <c r="L63" s="23">
        <v>0</v>
      </c>
      <c r="M63">
        <f t="shared" si="0"/>
        <v>-9.624129360547381E-14</v>
      </c>
    </row>
    <row r="64" spans="2:12" ht="12.75">
      <c r="B64" s="12"/>
      <c r="L64" s="23"/>
    </row>
    <row r="65" spans="2:12" ht="12.75">
      <c r="B65" s="12"/>
      <c r="L65" s="23"/>
    </row>
    <row r="66" spans="2:12" ht="12.75">
      <c r="B66" s="12"/>
      <c r="L66" s="23"/>
    </row>
    <row r="67" spans="2:12" ht="12.75">
      <c r="B67" s="12"/>
      <c r="L67" s="23"/>
    </row>
    <row r="68" spans="2:12" ht="12.75">
      <c r="B68" s="12"/>
      <c r="L68" s="23"/>
    </row>
    <row r="69" spans="2:12" ht="12.75">
      <c r="B69" s="12"/>
      <c r="L69" s="23"/>
    </row>
    <row r="70" spans="2:12" ht="12.75">
      <c r="B70" s="12"/>
      <c r="L70" s="23"/>
    </row>
    <row r="71" spans="2:12" ht="12.75">
      <c r="B71" s="12"/>
      <c r="L71" s="23"/>
    </row>
    <row r="72" spans="2:12" ht="12.75">
      <c r="B72" s="12"/>
      <c r="L72" s="23"/>
    </row>
    <row r="73" spans="2:6" ht="24" thickBot="1">
      <c r="B73" s="12"/>
      <c r="F73" s="98" t="s">
        <v>144</v>
      </c>
    </row>
    <row r="74" spans="1:13" ht="12.75">
      <c r="A74" s="81" t="s">
        <v>119</v>
      </c>
      <c r="B74" s="29"/>
      <c r="C74" s="92" t="s">
        <v>120</v>
      </c>
      <c r="D74" s="75" t="s">
        <v>121</v>
      </c>
      <c r="E74" s="78" t="s">
        <v>122</v>
      </c>
      <c r="F74" s="76" t="s">
        <v>123</v>
      </c>
      <c r="G74" s="75"/>
      <c r="H74" s="75" t="s">
        <v>124</v>
      </c>
      <c r="I74" s="75" t="s">
        <v>125</v>
      </c>
      <c r="J74" s="75" t="s">
        <v>26</v>
      </c>
      <c r="K74" s="75" t="s">
        <v>78</v>
      </c>
      <c r="L74" s="75" t="s">
        <v>50</v>
      </c>
      <c r="M74" s="78" t="s">
        <v>61</v>
      </c>
    </row>
    <row r="75" spans="1:13" ht="13.5" thickBot="1">
      <c r="A75" s="77" t="s">
        <v>70</v>
      </c>
      <c r="B75" s="13" t="s">
        <v>80</v>
      </c>
      <c r="C75" s="77"/>
      <c r="D75" s="67"/>
      <c r="E75" s="54"/>
      <c r="F75" s="67" t="s">
        <v>70</v>
      </c>
      <c r="G75" s="67" t="s">
        <v>80</v>
      </c>
      <c r="H75" s="67" t="s">
        <v>80</v>
      </c>
      <c r="I75" s="67" t="s">
        <v>80</v>
      </c>
      <c r="J75" s="67" t="s">
        <v>71</v>
      </c>
      <c r="K75" s="67" t="s">
        <v>80</v>
      </c>
      <c r="L75" s="67"/>
      <c r="M75" s="54" t="s">
        <v>71</v>
      </c>
    </row>
    <row r="76" spans="1:13" ht="12.75">
      <c r="A76" s="23">
        <v>0</v>
      </c>
      <c r="B76" s="82">
        <f>A76/10^5</f>
        <v>0</v>
      </c>
      <c r="C76" s="23">
        <f aca="true" t="shared" si="14" ref="C76:C109">-($H$20^2/$H$21+$H$20^2/($H$22*$H$23^2))</f>
        <v>-4.786616957491843E-06</v>
      </c>
      <c r="D76" s="23">
        <f aca="true" t="shared" si="15" ref="D76:D109">1+2*$H$20^2*$B$4/$H$21+2*$H$20^2*$B$4/($H$22*$H$23^2)</f>
        <v>300.64222153898936</v>
      </c>
      <c r="E76" s="23">
        <f aca="true" t="shared" si="16" ref="E76:E109">-(A76+$H$20^2*$B$4^2/($H$22*$H$23^2)+$H$20^2*$B$4^2/$H$21)</f>
        <v>-4689400767.085183</v>
      </c>
      <c r="F76" s="23">
        <f>(-D76+SQRT(D76^2-4*C76*E76))/(2*C76)</f>
        <v>28845165.706951648</v>
      </c>
      <c r="G76" s="73">
        <f>F76/10^5</f>
        <v>288.4516570695165</v>
      </c>
      <c r="H76" s="24">
        <f aca="true" t="shared" si="17" ref="H76:H109">(F76-A76)/10^5</f>
        <v>288.4516570695165</v>
      </c>
      <c r="I76" s="24">
        <f>$B$4/10^5-G76</f>
        <v>24.5483429304835</v>
      </c>
      <c r="J76" s="74">
        <f aca="true" t="shared" si="18" ref="J76:J109">$H$20*($B$4-F76)/$H$17</f>
        <v>0.14846822096950982</v>
      </c>
      <c r="K76" s="24">
        <f>I76+H76</f>
        <v>313</v>
      </c>
      <c r="L76" s="80">
        <f>M76/K76</f>
        <v>0.0009486787282396794</v>
      </c>
      <c r="M76" s="22">
        <f aca="true" t="shared" si="19" ref="M76:M109">J76*$H$14</f>
        <v>0.29693644193901964</v>
      </c>
    </row>
    <row r="77" spans="1:13" ht="12.75">
      <c r="A77" s="23">
        <f>200*10^5</f>
        <v>20000000</v>
      </c>
      <c r="B77" s="82">
        <f aca="true" t="shared" si="20" ref="B77:B109">A77/10^5</f>
        <v>200</v>
      </c>
      <c r="C77" s="23">
        <f t="shared" si="14"/>
        <v>-4.786616957491843E-06</v>
      </c>
      <c r="D77" s="23">
        <f t="shared" si="15"/>
        <v>300.64222153898936</v>
      </c>
      <c r="E77" s="23">
        <f t="shared" si="16"/>
        <v>-4709400767.085183</v>
      </c>
      <c r="F77" s="23">
        <f aca="true" t="shared" si="21" ref="F77:F109">(-D77+SQRT(D77^2-4*C77*E77))/(2*C77)</f>
        <v>29864438.36234699</v>
      </c>
      <c r="G77" s="73">
        <f aca="true" t="shared" si="22" ref="G77:G108">F77/10^5</f>
        <v>298.6443836234699</v>
      </c>
      <c r="H77" s="24">
        <f t="shared" si="17"/>
        <v>98.64438362346988</v>
      </c>
      <c r="I77" s="24">
        <f aca="true" t="shared" si="23" ref="I77:I109">$B$4/10^5-G77</f>
        <v>14.355616376530122</v>
      </c>
      <c r="J77" s="74">
        <f>$H$20*($B$4-F77)/$H$17</f>
        <v>0.08682267598997596</v>
      </c>
      <c r="K77" s="24">
        <f aca="true" t="shared" si="24" ref="K77:K109">I77+H77</f>
        <v>113</v>
      </c>
      <c r="L77" s="80">
        <f aca="true" t="shared" si="25" ref="L77:L108">M77/K77</f>
        <v>0.0015366845307960347</v>
      </c>
      <c r="M77" s="22">
        <f>J77*$H$14</f>
        <v>0.17364535197995193</v>
      </c>
    </row>
    <row r="78" spans="1:13" ht="12.75">
      <c r="A78" s="23">
        <f>A77+10*10^5</f>
        <v>21000000</v>
      </c>
      <c r="B78" s="82">
        <f t="shared" si="20"/>
        <v>210</v>
      </c>
      <c r="C78" s="23">
        <f t="shared" si="14"/>
        <v>-4.786616957491843E-06</v>
      </c>
      <c r="D78" s="23">
        <f t="shared" si="15"/>
        <v>300.64222153898936</v>
      </c>
      <c r="E78" s="23">
        <f t="shared" si="16"/>
        <v>-4710400767.085183</v>
      </c>
      <c r="F78" s="23">
        <f t="shared" si="21"/>
        <v>29933830.70079433</v>
      </c>
      <c r="G78" s="73">
        <f t="shared" si="22"/>
        <v>299.33830700794334</v>
      </c>
      <c r="H78" s="24">
        <f t="shared" si="17"/>
        <v>89.33830700794331</v>
      </c>
      <c r="I78" s="24">
        <f t="shared" si="23"/>
        <v>13.661692992056658</v>
      </c>
      <c r="J78" s="74">
        <f t="shared" si="18"/>
        <v>0.08262583180079129</v>
      </c>
      <c r="K78" s="24">
        <f t="shared" si="24"/>
        <v>102.99999999999997</v>
      </c>
      <c r="L78" s="80">
        <f t="shared" si="25"/>
        <v>0.0016043850835105108</v>
      </c>
      <c r="M78" s="22">
        <f t="shared" si="19"/>
        <v>0.16525166360158258</v>
      </c>
    </row>
    <row r="79" spans="1:13" ht="12.75">
      <c r="A79" s="23">
        <f aca="true" t="shared" si="26" ref="A79:A86">A78+10*10^5</f>
        <v>22000000</v>
      </c>
      <c r="B79" s="82">
        <f t="shared" si="20"/>
        <v>220</v>
      </c>
      <c r="C79" s="23">
        <f t="shared" si="14"/>
        <v>-4.786616957491843E-06</v>
      </c>
      <c r="D79" s="23">
        <f t="shared" si="15"/>
        <v>300.64222153898936</v>
      </c>
      <c r="E79" s="23">
        <f t="shared" si="16"/>
        <v>-4711400767.085183</v>
      </c>
      <c r="F79" s="23">
        <f t="shared" si="21"/>
        <v>30006663.729959924</v>
      </c>
      <c r="G79" s="73">
        <f t="shared" si="22"/>
        <v>300.0666372995992</v>
      </c>
      <c r="H79" s="24">
        <f t="shared" si="17"/>
        <v>80.06663729959924</v>
      </c>
      <c r="I79" s="24">
        <f t="shared" si="23"/>
        <v>12.933362700400778</v>
      </c>
      <c r="J79" s="74">
        <f t="shared" si="18"/>
        <v>0.07822089485712164</v>
      </c>
      <c r="K79" s="24">
        <f t="shared" si="24"/>
        <v>93.00000000000001</v>
      </c>
      <c r="L79" s="80">
        <f t="shared" si="25"/>
        <v>0.0016821697818735833</v>
      </c>
      <c r="M79" s="22">
        <f t="shared" si="19"/>
        <v>0.15644178971424327</v>
      </c>
    </row>
    <row r="80" spans="1:13" ht="12.75">
      <c r="A80" s="23">
        <f t="shared" si="26"/>
        <v>23000000</v>
      </c>
      <c r="B80" s="82">
        <f t="shared" si="20"/>
        <v>230</v>
      </c>
      <c r="C80" s="23">
        <f t="shared" si="14"/>
        <v>-4.786616957491843E-06</v>
      </c>
      <c r="D80" s="23">
        <f t="shared" si="15"/>
        <v>300.64222153898936</v>
      </c>
      <c r="E80" s="23">
        <f t="shared" si="16"/>
        <v>-4712400767.085183</v>
      </c>
      <c r="F80" s="23">
        <f t="shared" si="21"/>
        <v>30083506.453266583</v>
      </c>
      <c r="G80" s="73">
        <f t="shared" si="22"/>
        <v>300.83506453266585</v>
      </c>
      <c r="H80" s="24">
        <f t="shared" si="17"/>
        <v>70.83506453266584</v>
      </c>
      <c r="I80" s="24">
        <f t="shared" si="23"/>
        <v>12.164935467334146</v>
      </c>
      <c r="J80" s="74">
        <f t="shared" si="18"/>
        <v>0.07357345186836292</v>
      </c>
      <c r="K80" s="24">
        <f t="shared" si="24"/>
        <v>82.99999999999999</v>
      </c>
      <c r="L80" s="80">
        <f t="shared" si="25"/>
        <v>0.0017728542618882634</v>
      </c>
      <c r="M80" s="22">
        <f t="shared" si="19"/>
        <v>0.14714690373672584</v>
      </c>
    </row>
    <row r="81" spans="1:13" ht="12.75">
      <c r="A81" s="23">
        <f t="shared" si="26"/>
        <v>24000000</v>
      </c>
      <c r="B81" s="82">
        <f t="shared" si="20"/>
        <v>240</v>
      </c>
      <c r="C81" s="23">
        <f t="shared" si="14"/>
        <v>-4.786616957491843E-06</v>
      </c>
      <c r="D81" s="23">
        <f t="shared" si="15"/>
        <v>300.64222153898936</v>
      </c>
      <c r="E81" s="23">
        <f t="shared" si="16"/>
        <v>-4713400767.085183</v>
      </c>
      <c r="F81" s="23">
        <f t="shared" si="21"/>
        <v>30165104.47682134</v>
      </c>
      <c r="G81" s="73">
        <f t="shared" si="22"/>
        <v>301.6510447682134</v>
      </c>
      <c r="H81" s="24">
        <f t="shared" si="17"/>
        <v>61.6510447682134</v>
      </c>
      <c r="I81" s="24">
        <f t="shared" si="23"/>
        <v>11.34895523178659</v>
      </c>
      <c r="J81" s="74">
        <f t="shared" si="18"/>
        <v>0.06863840862487</v>
      </c>
      <c r="K81" s="24">
        <f t="shared" si="24"/>
        <v>73</v>
      </c>
      <c r="L81" s="80">
        <f t="shared" si="25"/>
        <v>0.0018805043458868494</v>
      </c>
      <c r="M81" s="22">
        <f t="shared" si="19"/>
        <v>0.13727681724974</v>
      </c>
    </row>
    <row r="82" spans="1:13" ht="12.75">
      <c r="A82" s="23">
        <f t="shared" si="26"/>
        <v>25000000</v>
      </c>
      <c r="B82" s="82">
        <f t="shared" si="20"/>
        <v>250</v>
      </c>
      <c r="C82" s="23">
        <f t="shared" si="14"/>
        <v>-4.786616957491843E-06</v>
      </c>
      <c r="D82" s="23">
        <f t="shared" si="15"/>
        <v>300.64222153898936</v>
      </c>
      <c r="E82" s="23">
        <f t="shared" si="16"/>
        <v>-4714400767.085183</v>
      </c>
      <c r="F82" s="23">
        <f t="shared" si="21"/>
        <v>30252467.84337215</v>
      </c>
      <c r="G82" s="73">
        <f t="shared" si="22"/>
        <v>302.52467843372153</v>
      </c>
      <c r="H82" s="24">
        <f t="shared" si="17"/>
        <v>52.52467843372151</v>
      </c>
      <c r="I82" s="24">
        <f t="shared" si="23"/>
        <v>10.475321566278467</v>
      </c>
      <c r="J82" s="74">
        <f t="shared" si="18"/>
        <v>0.06335467780587474</v>
      </c>
      <c r="K82" s="24">
        <f t="shared" si="24"/>
        <v>62.99999999999998</v>
      </c>
      <c r="L82" s="80">
        <f t="shared" si="25"/>
        <v>0.002011259612884913</v>
      </c>
      <c r="M82" s="22">
        <f t="shared" si="19"/>
        <v>0.12670935561174948</v>
      </c>
    </row>
    <row r="83" spans="1:13" ht="12.75">
      <c r="A83" s="23">
        <f t="shared" si="26"/>
        <v>26000000</v>
      </c>
      <c r="B83" s="82">
        <f t="shared" si="20"/>
        <v>260</v>
      </c>
      <c r="C83" s="23">
        <f t="shared" si="14"/>
        <v>-4.786616957491843E-06</v>
      </c>
      <c r="D83" s="23">
        <f t="shared" si="15"/>
        <v>300.64222153898936</v>
      </c>
      <c r="E83" s="23">
        <f t="shared" si="16"/>
        <v>-4715400767.085183</v>
      </c>
      <c r="F83" s="23">
        <f t="shared" si="21"/>
        <v>30347024.557548568</v>
      </c>
      <c r="G83" s="73">
        <f t="shared" si="22"/>
        <v>303.47024557548565</v>
      </c>
      <c r="H83" s="24">
        <f t="shared" si="17"/>
        <v>43.47024557548568</v>
      </c>
      <c r="I83" s="24">
        <f t="shared" si="23"/>
        <v>9.529754424514351</v>
      </c>
      <c r="J83" s="74">
        <f t="shared" si="18"/>
        <v>0.05763589378275352</v>
      </c>
      <c r="K83" s="24">
        <f t="shared" si="24"/>
        <v>53.00000000000003</v>
      </c>
      <c r="L83" s="80">
        <f t="shared" si="25"/>
        <v>0.0021749393880284335</v>
      </c>
      <c r="M83" s="22">
        <f t="shared" si="19"/>
        <v>0.11527178756550704</v>
      </c>
    </row>
    <row r="84" spans="1:13" ht="12.75">
      <c r="A84" s="23">
        <f t="shared" si="26"/>
        <v>27000000</v>
      </c>
      <c r="B84" s="82">
        <f t="shared" si="20"/>
        <v>270</v>
      </c>
      <c r="C84" s="23">
        <f t="shared" si="14"/>
        <v>-4.786616957491843E-06</v>
      </c>
      <c r="D84" s="23">
        <f t="shared" si="15"/>
        <v>300.64222153898936</v>
      </c>
      <c r="E84" s="23">
        <f t="shared" si="16"/>
        <v>-4716400767.085183</v>
      </c>
      <c r="F84" s="23">
        <f t="shared" si="21"/>
        <v>30450912.171122696</v>
      </c>
      <c r="G84" s="73">
        <f t="shared" si="22"/>
        <v>304.50912171122695</v>
      </c>
      <c r="H84" s="24">
        <f t="shared" si="17"/>
        <v>34.50912171122696</v>
      </c>
      <c r="I84" s="24">
        <f t="shared" si="23"/>
        <v>8.490878288773047</v>
      </c>
      <c r="J84" s="74">
        <f t="shared" si="18"/>
        <v>0.05135277756110191</v>
      </c>
      <c r="K84" s="24">
        <f t="shared" si="24"/>
        <v>43.00000000000001</v>
      </c>
      <c r="L84" s="80">
        <f t="shared" si="25"/>
        <v>0.0023885012819117165</v>
      </c>
      <c r="M84" s="22">
        <f t="shared" si="19"/>
        <v>0.10270555512220382</v>
      </c>
    </row>
    <row r="85" spans="1:13" ht="12.75">
      <c r="A85" s="23">
        <f t="shared" si="26"/>
        <v>28000000</v>
      </c>
      <c r="B85" s="82">
        <f t="shared" si="20"/>
        <v>280</v>
      </c>
      <c r="C85" s="23">
        <f t="shared" si="14"/>
        <v>-4.786616957491843E-06</v>
      </c>
      <c r="D85" s="23">
        <f t="shared" si="15"/>
        <v>300.64222153898936</v>
      </c>
      <c r="E85" s="23">
        <f t="shared" si="16"/>
        <v>-4717400767.085183</v>
      </c>
      <c r="F85" s="23">
        <f t="shared" si="21"/>
        <v>30567598.508805647</v>
      </c>
      <c r="G85" s="73">
        <f t="shared" si="22"/>
        <v>305.67598508805645</v>
      </c>
      <c r="H85" s="24">
        <f t="shared" si="17"/>
        <v>25.675985088056475</v>
      </c>
      <c r="I85" s="24">
        <f t="shared" si="23"/>
        <v>7.32401491194355</v>
      </c>
      <c r="J85" s="74">
        <f t="shared" si="18"/>
        <v>0.044295595324282795</v>
      </c>
      <c r="K85" s="24">
        <f t="shared" si="24"/>
        <v>33.00000000000003</v>
      </c>
      <c r="L85" s="80">
        <f t="shared" si="25"/>
        <v>0.0026845815348050155</v>
      </c>
      <c r="M85" s="22">
        <f t="shared" si="19"/>
        <v>0.08859119064856559</v>
      </c>
    </row>
    <row r="86" spans="1:13" ht="12.75">
      <c r="A86" s="23">
        <f t="shared" si="26"/>
        <v>29000000</v>
      </c>
      <c r="B86" s="82">
        <f t="shared" si="20"/>
        <v>290</v>
      </c>
      <c r="C86" s="23">
        <f t="shared" si="14"/>
        <v>-4.786616957491843E-06</v>
      </c>
      <c r="D86" s="23">
        <f t="shared" si="15"/>
        <v>300.64222153898936</v>
      </c>
      <c r="E86" s="23">
        <f t="shared" si="16"/>
        <v>-4718400767.085183</v>
      </c>
      <c r="F86" s="23">
        <f t="shared" si="21"/>
        <v>30703445.89970559</v>
      </c>
      <c r="G86" s="73">
        <f t="shared" si="22"/>
        <v>307.0344589970559</v>
      </c>
      <c r="H86" s="24">
        <f t="shared" si="17"/>
        <v>17.03445899705589</v>
      </c>
      <c r="I86" s="24">
        <f t="shared" si="23"/>
        <v>5.965541002944121</v>
      </c>
      <c r="J86" s="74">
        <f t="shared" si="18"/>
        <v>0.03607955381493167</v>
      </c>
      <c r="K86" s="24">
        <f t="shared" si="24"/>
        <v>23.00000000000001</v>
      </c>
      <c r="L86" s="80">
        <f t="shared" si="25"/>
        <v>0.003137352505646231</v>
      </c>
      <c r="M86" s="22">
        <f t="shared" si="19"/>
        <v>0.07215910762986334</v>
      </c>
    </row>
    <row r="87" spans="1:13" ht="12.75">
      <c r="A87" s="23">
        <f>A86+10^5</f>
        <v>29100000</v>
      </c>
      <c r="B87" s="82">
        <f t="shared" si="20"/>
        <v>291</v>
      </c>
      <c r="C87" s="23">
        <f t="shared" si="14"/>
        <v>-4.786616957491843E-06</v>
      </c>
      <c r="D87" s="23">
        <f t="shared" si="15"/>
        <v>300.64222153898936</v>
      </c>
      <c r="E87" s="23">
        <f t="shared" si="16"/>
        <v>-4718500767.085183</v>
      </c>
      <c r="F87" s="23">
        <f t="shared" si="21"/>
        <v>30718508.74519547</v>
      </c>
      <c r="G87" s="73">
        <f t="shared" si="22"/>
        <v>307.1850874519547</v>
      </c>
      <c r="H87" s="24">
        <f t="shared" si="17"/>
        <v>16.185087451954708</v>
      </c>
      <c r="I87" s="24">
        <f t="shared" si="23"/>
        <v>5.8149125480452994</v>
      </c>
      <c r="J87" s="74">
        <f t="shared" si="18"/>
        <v>0.035168553883508875</v>
      </c>
      <c r="K87" s="24">
        <f t="shared" si="24"/>
        <v>22.000000000000007</v>
      </c>
      <c r="L87" s="80">
        <f t="shared" si="25"/>
        <v>0.0031971412621371693</v>
      </c>
      <c r="M87" s="22">
        <f t="shared" si="19"/>
        <v>0.07033710776701775</v>
      </c>
    </row>
    <row r="88" spans="1:13" ht="12.75">
      <c r="A88" s="23">
        <f aca="true" t="shared" si="27" ref="A88:A102">A87+10^5</f>
        <v>29200000</v>
      </c>
      <c r="B88" s="82">
        <f t="shared" si="20"/>
        <v>292</v>
      </c>
      <c r="C88" s="23">
        <f t="shared" si="14"/>
        <v>-4.786616957491843E-06</v>
      </c>
      <c r="D88" s="23">
        <f t="shared" si="15"/>
        <v>300.64222153898936</v>
      </c>
      <c r="E88" s="23">
        <f t="shared" si="16"/>
        <v>-4718600767.085183</v>
      </c>
      <c r="F88" s="23">
        <f t="shared" si="21"/>
        <v>30733909.869353823</v>
      </c>
      <c r="G88" s="73">
        <f t="shared" si="22"/>
        <v>307.33909869353823</v>
      </c>
      <c r="H88" s="24">
        <f t="shared" si="17"/>
        <v>15.339098693538233</v>
      </c>
      <c r="I88" s="24">
        <f t="shared" si="23"/>
        <v>5.660901306461767</v>
      </c>
      <c r="J88" s="74">
        <f t="shared" si="18"/>
        <v>0.03423709487986194</v>
      </c>
      <c r="K88" s="24">
        <f t="shared" si="24"/>
        <v>21</v>
      </c>
      <c r="L88" s="80">
        <f t="shared" si="25"/>
        <v>0.0032606757028439946</v>
      </c>
      <c r="M88" s="22">
        <f t="shared" si="19"/>
        <v>0.06847418975972389</v>
      </c>
    </row>
    <row r="89" spans="1:13" ht="12.75">
      <c r="A89" s="23">
        <f t="shared" si="27"/>
        <v>29300000</v>
      </c>
      <c r="B89" s="82">
        <f t="shared" si="20"/>
        <v>293</v>
      </c>
      <c r="C89" s="23">
        <f t="shared" si="14"/>
        <v>-4.786616957491843E-06</v>
      </c>
      <c r="D89" s="23">
        <f t="shared" si="15"/>
        <v>300.64222153898936</v>
      </c>
      <c r="E89" s="23">
        <f t="shared" si="16"/>
        <v>-4718700767.085183</v>
      </c>
      <c r="F89" s="23">
        <f t="shared" si="21"/>
        <v>30749673.141597204</v>
      </c>
      <c r="G89" s="73">
        <f t="shared" si="22"/>
        <v>307.496731415972</v>
      </c>
      <c r="H89" s="24">
        <f t="shared" si="17"/>
        <v>14.49673141597204</v>
      </c>
      <c r="I89" s="24">
        <f t="shared" si="23"/>
        <v>5.503268584027978</v>
      </c>
      <c r="J89" s="74">
        <f t="shared" si="18"/>
        <v>0.03328373318320478</v>
      </c>
      <c r="K89" s="24">
        <f t="shared" si="24"/>
        <v>20.000000000000018</v>
      </c>
      <c r="L89" s="80">
        <f t="shared" si="25"/>
        <v>0.003328373318320475</v>
      </c>
      <c r="M89" s="22">
        <f t="shared" si="19"/>
        <v>0.06656746636640956</v>
      </c>
    </row>
    <row r="90" spans="1:13" ht="12.75">
      <c r="A90" s="23">
        <f t="shared" si="27"/>
        <v>29400000</v>
      </c>
      <c r="B90" s="82">
        <f t="shared" si="20"/>
        <v>294</v>
      </c>
      <c r="C90" s="23">
        <f t="shared" si="14"/>
        <v>-4.786616957491843E-06</v>
      </c>
      <c r="D90" s="23">
        <f t="shared" si="15"/>
        <v>300.64222153898936</v>
      </c>
      <c r="E90" s="23">
        <f t="shared" si="16"/>
        <v>-4718800767.085183</v>
      </c>
      <c r="F90" s="23">
        <f t="shared" si="21"/>
        <v>30765825.377905328</v>
      </c>
      <c r="G90" s="73">
        <f t="shared" si="22"/>
        <v>307.65825377905327</v>
      </c>
      <c r="H90" s="24">
        <f t="shared" si="17"/>
        <v>13.658253779053279</v>
      </c>
      <c r="I90" s="24">
        <f t="shared" si="23"/>
        <v>5.341746220946732</v>
      </c>
      <c r="J90" s="74">
        <f t="shared" si="18"/>
        <v>0.03230684696480004</v>
      </c>
      <c r="K90" s="24">
        <f t="shared" si="24"/>
        <v>19.00000000000001</v>
      </c>
      <c r="L90" s="80">
        <f t="shared" si="25"/>
        <v>0.003400720733136844</v>
      </c>
      <c r="M90" s="22">
        <f t="shared" si="19"/>
        <v>0.06461369392960008</v>
      </c>
    </row>
    <row r="91" spans="1:13" ht="12.75">
      <c r="A91" s="23">
        <f t="shared" si="27"/>
        <v>29500000</v>
      </c>
      <c r="B91" s="82">
        <f t="shared" si="20"/>
        <v>295</v>
      </c>
      <c r="C91" s="23">
        <f t="shared" si="14"/>
        <v>-4.786616957491843E-06</v>
      </c>
      <c r="D91" s="23">
        <f t="shared" si="15"/>
        <v>300.64222153898936</v>
      </c>
      <c r="E91" s="23">
        <f t="shared" si="16"/>
        <v>-4718900767.085183</v>
      </c>
      <c r="F91" s="23">
        <f t="shared" si="21"/>
        <v>30782396.876687028</v>
      </c>
      <c r="G91" s="73">
        <f t="shared" si="22"/>
        <v>307.8239687668703</v>
      </c>
      <c r="H91" s="24">
        <f t="shared" si="17"/>
        <v>12.823968766870275</v>
      </c>
      <c r="I91" s="24">
        <f t="shared" si="23"/>
        <v>5.17603123312972</v>
      </c>
      <c r="J91" s="74">
        <f t="shared" si="18"/>
        <v>0.031304603778820196</v>
      </c>
      <c r="K91" s="24">
        <f t="shared" si="24"/>
        <v>17.999999999999993</v>
      </c>
      <c r="L91" s="80">
        <f t="shared" si="25"/>
        <v>0.003478289308757801</v>
      </c>
      <c r="M91" s="22">
        <f t="shared" si="19"/>
        <v>0.06260920755764039</v>
      </c>
    </row>
    <row r="92" spans="1:13" ht="12.75">
      <c r="A92" s="23">
        <f t="shared" si="27"/>
        <v>29600000</v>
      </c>
      <c r="B92" s="82">
        <f t="shared" si="20"/>
        <v>296</v>
      </c>
      <c r="C92" s="23">
        <f t="shared" si="14"/>
        <v>-4.786616957491843E-06</v>
      </c>
      <c r="D92" s="23">
        <f t="shared" si="15"/>
        <v>300.64222153898936</v>
      </c>
      <c r="E92" s="23">
        <f t="shared" si="16"/>
        <v>-4719000767.085183</v>
      </c>
      <c r="F92" s="23">
        <f t="shared" si="21"/>
        <v>30799422.086860016</v>
      </c>
      <c r="G92" s="73">
        <f t="shared" si="22"/>
        <v>307.99422086860017</v>
      </c>
      <c r="H92" s="24">
        <f t="shared" si="17"/>
        <v>11.99422086860016</v>
      </c>
      <c r="I92" s="24">
        <f t="shared" si="23"/>
        <v>5.005779131399834</v>
      </c>
      <c r="J92" s="74">
        <f t="shared" si="18"/>
        <v>0.030274920156926205</v>
      </c>
      <c r="K92" s="24">
        <f t="shared" si="24"/>
        <v>16.999999999999993</v>
      </c>
      <c r="L92" s="80">
        <f t="shared" si="25"/>
        <v>0.003561755312579555</v>
      </c>
      <c r="M92" s="22">
        <f t="shared" si="19"/>
        <v>0.06054984031385241</v>
      </c>
    </row>
    <row r="93" spans="1:13" ht="12.75">
      <c r="A93" s="23">
        <f t="shared" si="27"/>
        <v>29700000</v>
      </c>
      <c r="B93" s="82">
        <f t="shared" si="20"/>
        <v>297</v>
      </c>
      <c r="C93" s="23">
        <f t="shared" si="14"/>
        <v>-4.786616957491843E-06</v>
      </c>
      <c r="D93" s="23">
        <f t="shared" si="15"/>
        <v>300.64222153898936</v>
      </c>
      <c r="E93" s="23">
        <f t="shared" si="16"/>
        <v>-4719100767.085183</v>
      </c>
      <c r="F93" s="23">
        <f t="shared" si="21"/>
        <v>30816940.45034616</v>
      </c>
      <c r="G93" s="73">
        <f t="shared" si="22"/>
        <v>308.16940450346164</v>
      </c>
      <c r="H93" s="24">
        <f t="shared" si="17"/>
        <v>11.169404503461607</v>
      </c>
      <c r="I93" s="24">
        <f t="shared" si="23"/>
        <v>4.830595496538365</v>
      </c>
      <c r="J93" s="74">
        <f t="shared" si="18"/>
        <v>0.02921541065420724</v>
      </c>
      <c r="K93" s="24">
        <f t="shared" si="24"/>
        <v>15.999999999999972</v>
      </c>
      <c r="L93" s="80">
        <f t="shared" si="25"/>
        <v>0.0036519263317759116</v>
      </c>
      <c r="M93" s="22">
        <f t="shared" si="19"/>
        <v>0.05843082130841448</v>
      </c>
    </row>
    <row r="94" spans="1:13" ht="12.75">
      <c r="A94" s="23">
        <f t="shared" si="27"/>
        <v>29800000</v>
      </c>
      <c r="B94" s="82">
        <f t="shared" si="20"/>
        <v>298</v>
      </c>
      <c r="C94" s="23">
        <f t="shared" si="14"/>
        <v>-4.786616957491843E-06</v>
      </c>
      <c r="D94" s="23">
        <f t="shared" si="15"/>
        <v>300.64222153898936</v>
      </c>
      <c r="E94" s="23">
        <f t="shared" si="16"/>
        <v>-4719200767.085183</v>
      </c>
      <c r="F94" s="23">
        <f t="shared" si="21"/>
        <v>30834997.47808855</v>
      </c>
      <c r="G94" s="73">
        <f t="shared" si="22"/>
        <v>308.3499747808855</v>
      </c>
      <c r="H94" s="24">
        <f t="shared" si="17"/>
        <v>10.349974780885503</v>
      </c>
      <c r="I94" s="24">
        <f t="shared" si="23"/>
        <v>4.650025219114525</v>
      </c>
      <c r="J94" s="74">
        <f t="shared" si="18"/>
        <v>0.02812332277173734</v>
      </c>
      <c r="K94" s="24">
        <f t="shared" si="24"/>
        <v>15.000000000000028</v>
      </c>
      <c r="L94" s="80">
        <f t="shared" si="25"/>
        <v>0.0037497763695649717</v>
      </c>
      <c r="M94" s="22">
        <f t="shared" si="19"/>
        <v>0.05624664554347468</v>
      </c>
    </row>
    <row r="95" spans="1:13" ht="12.75">
      <c r="A95" s="23">
        <f t="shared" si="27"/>
        <v>29900000</v>
      </c>
      <c r="B95" s="82">
        <f t="shared" si="20"/>
        <v>299</v>
      </c>
      <c r="C95" s="23">
        <f t="shared" si="14"/>
        <v>-4.786616957491843E-06</v>
      </c>
      <c r="D95" s="23">
        <f t="shared" si="15"/>
        <v>300.64222153898936</v>
      </c>
      <c r="E95" s="23">
        <f t="shared" si="16"/>
        <v>-4719300767.085183</v>
      </c>
      <c r="F95" s="23">
        <f t="shared" si="21"/>
        <v>30853646.143943194</v>
      </c>
      <c r="G95" s="73">
        <f t="shared" si="22"/>
        <v>308.53646143943195</v>
      </c>
      <c r="H95" s="24">
        <f t="shared" si="17"/>
        <v>9.536461439431942</v>
      </c>
      <c r="I95" s="24">
        <f t="shared" si="23"/>
        <v>4.463538560568054</v>
      </c>
      <c r="J95" s="74">
        <f t="shared" si="18"/>
        <v>0.026995452654094615</v>
      </c>
      <c r="K95" s="24">
        <f t="shared" si="24"/>
        <v>13.999999999999996</v>
      </c>
      <c r="L95" s="80">
        <f t="shared" si="25"/>
        <v>0.003856493236299232</v>
      </c>
      <c r="M95" s="22">
        <f t="shared" si="19"/>
        <v>0.05399090530818923</v>
      </c>
    </row>
    <row r="96" spans="1:13" s="25" customFormat="1" ht="12.75">
      <c r="A96" s="85">
        <f t="shared" si="27"/>
        <v>30000000</v>
      </c>
      <c r="B96" s="85">
        <f t="shared" si="20"/>
        <v>300</v>
      </c>
      <c r="C96" s="85">
        <f t="shared" si="14"/>
        <v>-4.786616957491843E-06</v>
      </c>
      <c r="D96" s="85">
        <f t="shared" si="15"/>
        <v>300.64222153898936</v>
      </c>
      <c r="E96" s="85">
        <f t="shared" si="16"/>
        <v>-4719400767.085183</v>
      </c>
      <c r="F96" s="85">
        <f t="shared" si="21"/>
        <v>30872948.71935552</v>
      </c>
      <c r="G96" s="86">
        <f t="shared" si="22"/>
        <v>308.7294871935552</v>
      </c>
      <c r="H96" s="87">
        <f t="shared" si="17"/>
        <v>8.7294871935552</v>
      </c>
      <c r="I96" s="87">
        <f t="shared" si="23"/>
        <v>4.270512806444799</v>
      </c>
      <c r="J96" s="74">
        <f t="shared" si="18"/>
        <v>0.02582803412824411</v>
      </c>
      <c r="K96" s="87">
        <f t="shared" si="24"/>
        <v>12.999999999999998</v>
      </c>
      <c r="L96" s="88">
        <f t="shared" si="25"/>
        <v>0.003973543712037556</v>
      </c>
      <c r="M96" s="89">
        <f t="shared" si="19"/>
        <v>0.05165606825648822</v>
      </c>
    </row>
    <row r="97" spans="1:13" ht="12.75">
      <c r="A97" s="23">
        <f t="shared" si="27"/>
        <v>30100000</v>
      </c>
      <c r="B97" s="82">
        <f t="shared" si="20"/>
        <v>301</v>
      </c>
      <c r="C97" s="23">
        <f t="shared" si="14"/>
        <v>-4.786616957491843E-06</v>
      </c>
      <c r="D97" s="23">
        <f t="shared" si="15"/>
        <v>300.64222153898936</v>
      </c>
      <c r="E97" s="23">
        <f t="shared" si="16"/>
        <v>-4719500767.085183</v>
      </c>
      <c r="F97" s="23">
        <f t="shared" si="21"/>
        <v>30892979.23219259</v>
      </c>
      <c r="G97" s="73">
        <f t="shared" si="22"/>
        <v>308.9297923219259</v>
      </c>
      <c r="H97" s="24">
        <f t="shared" si="17"/>
        <v>7.929792321925908</v>
      </c>
      <c r="I97" s="24">
        <f t="shared" si="23"/>
        <v>4.070207678074098</v>
      </c>
      <c r="J97" s="74">
        <f t="shared" si="18"/>
        <v>0.024616589993522515</v>
      </c>
      <c r="K97" s="24">
        <f t="shared" si="24"/>
        <v>12.000000000000007</v>
      </c>
      <c r="L97" s="80">
        <f t="shared" si="25"/>
        <v>0.004102764998920417</v>
      </c>
      <c r="M97" s="22">
        <f t="shared" si="19"/>
        <v>0.04923317998704503</v>
      </c>
    </row>
    <row r="98" spans="1:13" ht="12.75">
      <c r="A98" s="23">
        <f t="shared" si="27"/>
        <v>30200000</v>
      </c>
      <c r="B98" s="82">
        <f t="shared" si="20"/>
        <v>302</v>
      </c>
      <c r="C98" s="23">
        <f t="shared" si="14"/>
        <v>-4.786616957491843E-06</v>
      </c>
      <c r="D98" s="23">
        <f t="shared" si="15"/>
        <v>300.64222153898936</v>
      </c>
      <c r="E98" s="23">
        <f t="shared" si="16"/>
        <v>-4719600767.085183</v>
      </c>
      <c r="F98" s="23">
        <f t="shared" si="21"/>
        <v>30913826.830712944</v>
      </c>
      <c r="G98" s="73">
        <f t="shared" si="22"/>
        <v>309.13826830712947</v>
      </c>
      <c r="H98" s="24">
        <f t="shared" si="17"/>
        <v>7.138268307129443</v>
      </c>
      <c r="I98" s="24">
        <f t="shared" si="23"/>
        <v>3.861731692870535</v>
      </c>
      <c r="J98" s="74">
        <f t="shared" si="18"/>
        <v>0.023355728568957717</v>
      </c>
      <c r="K98" s="24">
        <f t="shared" si="24"/>
        <v>10.999999999999979</v>
      </c>
      <c r="L98" s="80">
        <f t="shared" si="25"/>
        <v>0.0042464961034468654</v>
      </c>
      <c r="M98" s="22">
        <f t="shared" si="19"/>
        <v>0.046711457137915434</v>
      </c>
    </row>
    <row r="99" spans="1:13" ht="12.75">
      <c r="A99" s="23">
        <f t="shared" si="27"/>
        <v>30300000</v>
      </c>
      <c r="B99" s="82">
        <f t="shared" si="20"/>
        <v>303</v>
      </c>
      <c r="C99" s="23">
        <f t="shared" si="14"/>
        <v>-4.786616957491843E-06</v>
      </c>
      <c r="D99" s="23">
        <f t="shared" si="15"/>
        <v>300.64222153898936</v>
      </c>
      <c r="E99" s="23">
        <f t="shared" si="16"/>
        <v>-4719700767.085183</v>
      </c>
      <c r="F99" s="23">
        <f t="shared" si="21"/>
        <v>30935600.496630166</v>
      </c>
      <c r="G99" s="73">
        <f t="shared" si="22"/>
        <v>309.35600496630167</v>
      </c>
      <c r="H99" s="24">
        <f t="shared" si="17"/>
        <v>6.356004966301657</v>
      </c>
      <c r="I99" s="24">
        <f t="shared" si="23"/>
        <v>3.6439950336983316</v>
      </c>
      <c r="J99" s="74">
        <f t="shared" si="18"/>
        <v>0.022038858647485324</v>
      </c>
      <c r="K99" s="24">
        <f t="shared" si="24"/>
        <v>9.99999999999999</v>
      </c>
      <c r="L99" s="80">
        <f t="shared" si="25"/>
        <v>0.004407771729497069</v>
      </c>
      <c r="M99" s="22">
        <f t="shared" si="19"/>
        <v>0.04407771729497065</v>
      </c>
    </row>
    <row r="100" spans="1:13" ht="12.75">
      <c r="A100" s="23">
        <f t="shared" si="27"/>
        <v>30400000</v>
      </c>
      <c r="B100" s="82">
        <f t="shared" si="20"/>
        <v>304</v>
      </c>
      <c r="C100" s="23">
        <f t="shared" si="14"/>
        <v>-4.786616957491843E-06</v>
      </c>
      <c r="D100" s="23">
        <f t="shared" si="15"/>
        <v>300.64222153898936</v>
      </c>
      <c r="E100" s="23">
        <f t="shared" si="16"/>
        <v>-4719800767.085183</v>
      </c>
      <c r="F100" s="23">
        <f t="shared" si="21"/>
        <v>30958435.83411156</v>
      </c>
      <c r="G100" s="73">
        <f t="shared" si="22"/>
        <v>309.5843583411156</v>
      </c>
      <c r="H100" s="24">
        <f t="shared" si="17"/>
        <v>5.5843583411156015</v>
      </c>
      <c r="I100" s="24">
        <f t="shared" si="23"/>
        <v>3.4156416588843967</v>
      </c>
      <c r="J100" s="74">
        <f t="shared" si="18"/>
        <v>0.020657778897743447</v>
      </c>
      <c r="K100" s="24">
        <f t="shared" si="24"/>
        <v>8.999999999999998</v>
      </c>
      <c r="L100" s="80">
        <f t="shared" si="25"/>
        <v>0.004590617532831878</v>
      </c>
      <c r="M100" s="22">
        <f t="shared" si="19"/>
        <v>0.041315557795486894</v>
      </c>
    </row>
    <row r="101" spans="1:13" ht="12.75">
      <c r="A101" s="23">
        <f t="shared" si="27"/>
        <v>30500000</v>
      </c>
      <c r="B101" s="82">
        <f t="shared" si="20"/>
        <v>305</v>
      </c>
      <c r="C101" s="23">
        <f t="shared" si="14"/>
        <v>-4.786616957491843E-06</v>
      </c>
      <c r="D101" s="23">
        <f t="shared" si="15"/>
        <v>300.64222153898936</v>
      </c>
      <c r="E101" s="23">
        <f t="shared" si="16"/>
        <v>-4719900767.085183</v>
      </c>
      <c r="F101" s="23">
        <f t="shared" si="21"/>
        <v>30982505.175341137</v>
      </c>
      <c r="G101" s="73">
        <f t="shared" si="22"/>
        <v>309.82505175341134</v>
      </c>
      <c r="H101" s="24">
        <f t="shared" si="17"/>
        <v>4.825051753411367</v>
      </c>
      <c r="I101" s="24">
        <f t="shared" si="23"/>
        <v>3.174948246588656</v>
      </c>
      <c r="J101" s="74">
        <f t="shared" si="18"/>
        <v>0.019202066680269986</v>
      </c>
      <c r="K101" s="24">
        <f t="shared" si="24"/>
        <v>8.000000000000023</v>
      </c>
      <c r="L101" s="80">
        <f t="shared" si="25"/>
        <v>0.004800516670067483</v>
      </c>
      <c r="M101" s="22">
        <f t="shared" si="19"/>
        <v>0.03840413336053997</v>
      </c>
    </row>
    <row r="102" spans="1:13" ht="12.75">
      <c r="A102" s="23">
        <f t="shared" si="27"/>
        <v>30600000</v>
      </c>
      <c r="B102" s="82">
        <f t="shared" si="20"/>
        <v>306</v>
      </c>
      <c r="C102" s="23">
        <f t="shared" si="14"/>
        <v>-4.786616957491843E-06</v>
      </c>
      <c r="D102" s="23">
        <f t="shared" si="15"/>
        <v>300.64222153898936</v>
      </c>
      <c r="E102" s="23">
        <f t="shared" si="16"/>
        <v>-4720000767.085183</v>
      </c>
      <c r="F102" s="23">
        <f t="shared" si="21"/>
        <v>31008033.228136644</v>
      </c>
      <c r="G102" s="73">
        <f t="shared" si="22"/>
        <v>310.08033228136645</v>
      </c>
      <c r="H102" s="24">
        <f t="shared" si="17"/>
        <v>4.080332281366438</v>
      </c>
      <c r="I102" s="24">
        <f t="shared" si="23"/>
        <v>2.919667718633548</v>
      </c>
      <c r="J102" s="74">
        <f t="shared" si="18"/>
        <v>0.017658131680625595</v>
      </c>
      <c r="K102" s="24">
        <f t="shared" si="24"/>
        <v>6.999999999999986</v>
      </c>
      <c r="L102" s="80">
        <f t="shared" si="25"/>
        <v>0.005045180480178752</v>
      </c>
      <c r="M102" s="22">
        <f t="shared" si="19"/>
        <v>0.03531626336125119</v>
      </c>
    </row>
    <row r="103" spans="1:13" ht="12.75">
      <c r="A103" s="23">
        <f>A102+10^5</f>
        <v>30700000</v>
      </c>
      <c r="B103" s="82">
        <f t="shared" si="20"/>
        <v>307</v>
      </c>
      <c r="C103" s="23">
        <f t="shared" si="14"/>
        <v>-4.786616957491843E-06</v>
      </c>
      <c r="D103" s="23">
        <f t="shared" si="15"/>
        <v>300.64222153898936</v>
      </c>
      <c r="E103" s="23">
        <f t="shared" si="16"/>
        <v>-4720100767.085183</v>
      </c>
      <c r="F103" s="23">
        <f t="shared" si="21"/>
        <v>31035322.505991913</v>
      </c>
      <c r="G103" s="73">
        <f t="shared" si="22"/>
        <v>310.3532250599191</v>
      </c>
      <c r="H103" s="24">
        <f t="shared" si="17"/>
        <v>3.3532250599191338</v>
      </c>
      <c r="I103" s="24">
        <f t="shared" si="23"/>
        <v>2.6467749400808884</v>
      </c>
      <c r="J103" s="74">
        <f t="shared" si="18"/>
        <v>0.01600767790205981</v>
      </c>
      <c r="K103" s="24">
        <f t="shared" si="24"/>
        <v>6.000000000000022</v>
      </c>
      <c r="L103" s="80">
        <f t="shared" si="25"/>
        <v>0.005335892634019917</v>
      </c>
      <c r="M103" s="22">
        <f t="shared" si="19"/>
        <v>0.03201535580411962</v>
      </c>
    </row>
    <row r="104" spans="1:13" ht="12.75">
      <c r="A104" s="23">
        <f aca="true" t="shared" si="28" ref="A104:A109">A103+10^5</f>
        <v>30800000</v>
      </c>
      <c r="B104" s="82">
        <f t="shared" si="20"/>
        <v>308</v>
      </c>
      <c r="C104" s="23">
        <f t="shared" si="14"/>
        <v>-4.786616957491843E-06</v>
      </c>
      <c r="D104" s="23">
        <f t="shared" si="15"/>
        <v>300.64222153898936</v>
      </c>
      <c r="E104" s="23">
        <f t="shared" si="16"/>
        <v>-4720200767.085183</v>
      </c>
      <c r="F104" s="23">
        <f t="shared" si="21"/>
        <v>31064797.249058962</v>
      </c>
      <c r="G104" s="73">
        <f t="shared" si="22"/>
        <v>310.6479724905896</v>
      </c>
      <c r="H104" s="24">
        <f t="shared" si="17"/>
        <v>2.6479724905896185</v>
      </c>
      <c r="I104" s="24">
        <f t="shared" si="23"/>
        <v>2.352027509410391</v>
      </c>
      <c r="J104" s="74">
        <f t="shared" si="18"/>
        <v>0.014225047327323949</v>
      </c>
      <c r="K104" s="24">
        <f t="shared" si="24"/>
        <v>5.000000000000009</v>
      </c>
      <c r="L104" s="80">
        <f t="shared" si="25"/>
        <v>0.005690018930929569</v>
      </c>
      <c r="M104" s="22">
        <f t="shared" si="19"/>
        <v>0.028450094654647897</v>
      </c>
    </row>
    <row r="105" spans="1:13" ht="12.75">
      <c r="A105" s="23">
        <f t="shared" si="28"/>
        <v>30900000</v>
      </c>
      <c r="B105" s="82">
        <f t="shared" si="20"/>
        <v>309</v>
      </c>
      <c r="C105" s="23">
        <f t="shared" si="14"/>
        <v>-4.786616957491843E-06</v>
      </c>
      <c r="D105" s="23">
        <f t="shared" si="15"/>
        <v>300.64222153898936</v>
      </c>
      <c r="E105" s="23">
        <f t="shared" si="16"/>
        <v>-4720300767.085183</v>
      </c>
      <c r="F105" s="23">
        <f t="shared" si="21"/>
        <v>31097085.5256099</v>
      </c>
      <c r="G105" s="73">
        <f t="shared" si="22"/>
        <v>310.970855256099</v>
      </c>
      <c r="H105" s="24">
        <f t="shared" si="17"/>
        <v>1.9708552560989931</v>
      </c>
      <c r="I105" s="24">
        <f t="shared" si="23"/>
        <v>2.0291447439009858</v>
      </c>
      <c r="J105" s="74">
        <f t="shared" si="18"/>
        <v>0.012272254427508124</v>
      </c>
      <c r="K105" s="24">
        <f t="shared" si="24"/>
        <v>3.9999999999999787</v>
      </c>
      <c r="L105" s="80">
        <f t="shared" si="25"/>
        <v>0.006136127213754095</v>
      </c>
      <c r="M105" s="22">
        <f t="shared" si="19"/>
        <v>0.02454450885501625</v>
      </c>
    </row>
    <row r="106" spans="1:13" ht="12.75">
      <c r="A106" s="23">
        <f t="shared" si="28"/>
        <v>31000000</v>
      </c>
      <c r="B106" s="82">
        <f t="shared" si="20"/>
        <v>310</v>
      </c>
      <c r="C106" s="23">
        <f t="shared" si="14"/>
        <v>-4.786616957491843E-06</v>
      </c>
      <c r="D106" s="23">
        <f t="shared" si="15"/>
        <v>300.64222153898936</v>
      </c>
      <c r="E106" s="23">
        <f t="shared" si="16"/>
        <v>-4720400767.085183</v>
      </c>
      <c r="F106" s="23">
        <f t="shared" si="21"/>
        <v>31133190.144176148</v>
      </c>
      <c r="G106" s="73">
        <f t="shared" si="22"/>
        <v>311.3319014417615</v>
      </c>
      <c r="H106" s="24">
        <f t="shared" si="17"/>
        <v>1.3319014417614787</v>
      </c>
      <c r="I106" s="24">
        <f t="shared" si="23"/>
        <v>1.668098558238512</v>
      </c>
      <c r="J106" s="74">
        <f t="shared" si="18"/>
        <v>0.01008864940679723</v>
      </c>
      <c r="K106" s="24">
        <f t="shared" si="24"/>
        <v>2.9999999999999907</v>
      </c>
      <c r="L106" s="80">
        <f t="shared" si="25"/>
        <v>0.0067257662711981735</v>
      </c>
      <c r="M106" s="22">
        <f t="shared" si="19"/>
        <v>0.02017729881359446</v>
      </c>
    </row>
    <row r="107" spans="1:13" ht="12.75">
      <c r="A107" s="23">
        <f t="shared" si="28"/>
        <v>31100000</v>
      </c>
      <c r="B107" s="82">
        <f t="shared" si="20"/>
        <v>311</v>
      </c>
      <c r="C107" s="23">
        <f t="shared" si="14"/>
        <v>-4.786616957491843E-06</v>
      </c>
      <c r="D107" s="23">
        <f t="shared" si="15"/>
        <v>300.64222153898936</v>
      </c>
      <c r="E107" s="23">
        <f t="shared" si="16"/>
        <v>-4720500767.085183</v>
      </c>
      <c r="F107" s="23">
        <f t="shared" si="21"/>
        <v>31174904.824948244</v>
      </c>
      <c r="G107" s="73">
        <f t="shared" si="22"/>
        <v>311.7490482494824</v>
      </c>
      <c r="H107" s="24">
        <f t="shared" si="17"/>
        <v>0.749048249482438</v>
      </c>
      <c r="I107" s="24">
        <f t="shared" si="23"/>
        <v>1.2509517505175722</v>
      </c>
      <c r="J107" s="74">
        <f t="shared" si="18"/>
        <v>0.007565748182839905</v>
      </c>
      <c r="K107" s="24">
        <f t="shared" si="24"/>
        <v>2.00000000000001</v>
      </c>
      <c r="L107" s="80">
        <f t="shared" si="25"/>
        <v>0.007565748182839866</v>
      </c>
      <c r="M107" s="22">
        <f t="shared" si="19"/>
        <v>0.01513149636567981</v>
      </c>
    </row>
    <row r="108" spans="1:13" ht="12.75">
      <c r="A108" s="23">
        <f t="shared" si="28"/>
        <v>31200000</v>
      </c>
      <c r="B108" s="82">
        <f t="shared" si="20"/>
        <v>312</v>
      </c>
      <c r="C108" s="23">
        <f t="shared" si="14"/>
        <v>-4.786616957491843E-06</v>
      </c>
      <c r="D108" s="23">
        <f t="shared" si="15"/>
        <v>300.64222153898936</v>
      </c>
      <c r="E108" s="23">
        <f t="shared" si="16"/>
        <v>-4720600767.085183</v>
      </c>
      <c r="F108" s="23">
        <f t="shared" si="21"/>
        <v>31226123.850087065</v>
      </c>
      <c r="G108" s="73">
        <f t="shared" si="22"/>
        <v>312.26123850087066</v>
      </c>
      <c r="H108" s="24">
        <f t="shared" si="17"/>
        <v>0.2612385008706525</v>
      </c>
      <c r="I108" s="24">
        <f t="shared" si="23"/>
        <v>0.738761499129339</v>
      </c>
      <c r="J108" s="74">
        <f t="shared" si="18"/>
        <v>0.004468024819724234</v>
      </c>
      <c r="K108" s="24">
        <f t="shared" si="24"/>
        <v>0.9999999999999915</v>
      </c>
      <c r="L108" s="80">
        <f t="shared" si="25"/>
        <v>0.008936049639448544</v>
      </c>
      <c r="M108" s="22">
        <f t="shared" si="19"/>
        <v>0.008936049639448468</v>
      </c>
    </row>
    <row r="109" spans="1:13" ht="12.75">
      <c r="A109" s="23">
        <f t="shared" si="28"/>
        <v>31300000</v>
      </c>
      <c r="B109" s="82">
        <f t="shared" si="20"/>
        <v>313</v>
      </c>
      <c r="C109" s="23">
        <f t="shared" si="14"/>
        <v>-4.786616957491843E-06</v>
      </c>
      <c r="D109" s="23">
        <f t="shared" si="15"/>
        <v>300.64222153898936</v>
      </c>
      <c r="E109" s="23">
        <f t="shared" si="16"/>
        <v>-4720700767.085183</v>
      </c>
      <c r="F109" s="23">
        <f t="shared" si="21"/>
        <v>31300000</v>
      </c>
      <c r="G109" s="73">
        <f>F109/10^5</f>
        <v>313</v>
      </c>
      <c r="H109" s="24">
        <f t="shared" si="17"/>
        <v>0</v>
      </c>
      <c r="I109" s="24">
        <f t="shared" si="23"/>
        <v>0</v>
      </c>
      <c r="J109" s="74">
        <f t="shared" si="18"/>
        <v>0</v>
      </c>
      <c r="K109" s="24">
        <f t="shared" si="24"/>
        <v>0</v>
      </c>
      <c r="L109" s="80">
        <v>0</v>
      </c>
      <c r="M109" s="22">
        <f t="shared" si="19"/>
        <v>0</v>
      </c>
    </row>
    <row r="110" spans="2:3" ht="12.75">
      <c r="B110" s="12"/>
      <c r="C110" s="23"/>
    </row>
    <row r="111" spans="2:3" ht="12.75">
      <c r="B111" s="12"/>
      <c r="C111" s="23"/>
    </row>
    <row r="112" spans="2:3" ht="12.75">
      <c r="B112" s="12"/>
      <c r="C112" s="23"/>
    </row>
    <row r="113" spans="2:3" ht="12.75">
      <c r="B113" s="12"/>
      <c r="C113" s="23"/>
    </row>
    <row r="114" spans="2:3" ht="12.75">
      <c r="B114" s="12"/>
      <c r="C114" s="23"/>
    </row>
    <row r="115" spans="2:3" ht="12.75">
      <c r="B115" s="12"/>
      <c r="C115" s="23"/>
    </row>
    <row r="116" spans="2:3" ht="12.75">
      <c r="B116" s="12"/>
      <c r="C116" s="23"/>
    </row>
    <row r="117" spans="2:3" ht="12.75">
      <c r="B117" s="12"/>
      <c r="C117" s="23"/>
    </row>
    <row r="118" spans="2:3" ht="12.75">
      <c r="B118" s="12"/>
      <c r="C118" s="23"/>
    </row>
    <row r="119" spans="2:6" ht="24" thickBot="1">
      <c r="B119" s="12"/>
      <c r="F119" s="98" t="s">
        <v>145</v>
      </c>
    </row>
    <row r="120" spans="1:13" ht="12.75">
      <c r="A120" s="81" t="s">
        <v>119</v>
      </c>
      <c r="B120" s="29"/>
      <c r="C120" s="92" t="s">
        <v>120</v>
      </c>
      <c r="D120" s="75" t="s">
        <v>121</v>
      </c>
      <c r="E120" s="78" t="s">
        <v>122</v>
      </c>
      <c r="F120" s="76" t="s">
        <v>123</v>
      </c>
      <c r="G120" s="75"/>
      <c r="H120" s="75" t="s">
        <v>124</v>
      </c>
      <c r="I120" s="75" t="s">
        <v>125</v>
      </c>
      <c r="J120" s="75" t="s">
        <v>26</v>
      </c>
      <c r="K120" s="75" t="s">
        <v>78</v>
      </c>
      <c r="L120" s="75" t="s">
        <v>50</v>
      </c>
      <c r="M120" s="78" t="s">
        <v>61</v>
      </c>
    </row>
    <row r="121" spans="1:13" ht="13.5" thickBot="1">
      <c r="A121" s="77" t="s">
        <v>70</v>
      </c>
      <c r="B121" s="13" t="s">
        <v>80</v>
      </c>
      <c r="C121" s="77"/>
      <c r="D121" s="67"/>
      <c r="E121" s="54"/>
      <c r="F121" s="67" t="s">
        <v>70</v>
      </c>
      <c r="G121" s="67" t="s">
        <v>80</v>
      </c>
      <c r="H121" s="67" t="s">
        <v>80</v>
      </c>
      <c r="I121" s="67" t="s">
        <v>80</v>
      </c>
      <c r="J121" s="67" t="s">
        <v>71</v>
      </c>
      <c r="K121" s="67" t="s">
        <v>80</v>
      </c>
      <c r="L121" s="67"/>
      <c r="M121" s="54" t="s">
        <v>71</v>
      </c>
    </row>
    <row r="122" spans="1:13" ht="12.75">
      <c r="A122" s="23">
        <v>0</v>
      </c>
      <c r="B122" s="82">
        <f>A122/10^5</f>
        <v>0</v>
      </c>
      <c r="C122" s="23">
        <f aca="true" t="shared" si="29" ref="C122:C155">-($K$20^2/$K$21+$K$20^2/($K$22*$K$23^2))</f>
        <v>-5.05984522494496E-06</v>
      </c>
      <c r="D122" s="23">
        <f aca="true" t="shared" si="30" ref="D122:D155">1+2*$K$20^2*$B$4/$K$21+2*$K$20^2*$B$4/($K$22*$K$23^2)</f>
        <v>317.7463110815545</v>
      </c>
      <c r="E122" s="23">
        <f aca="true" t="shared" si="31" ref="E122:E155">-(A122+$K$20^2*$B$4^2/($K$22*$K$23^2)+$K$20^2*$B$4^2/$K$21)</f>
        <v>-4957079768.426328</v>
      </c>
      <c r="F122" s="23">
        <f>(-D122+SQRT(D122^2-4*C122*E122))/(2*C122)</f>
        <v>28909695.957891036</v>
      </c>
      <c r="G122" s="73">
        <f>F122/10^5</f>
        <v>289.09695957891034</v>
      </c>
      <c r="H122" s="24">
        <f aca="true" t="shared" si="32" ref="H122:H155">(F122-A122)/10^5</f>
        <v>289.09695957891034</v>
      </c>
      <c r="I122" s="24">
        <f>$B$4/10^5-G122</f>
        <v>23.903040421089656</v>
      </c>
      <c r="J122" s="74">
        <f aca="true" t="shared" si="33" ref="J122:J155">$K$20*($B$4-F122)/$K$17</f>
        <v>0.10169747104859626</v>
      </c>
      <c r="K122" s="24">
        <f>I122+H122</f>
        <v>313</v>
      </c>
      <c r="L122" s="23">
        <f>M122/K122</f>
        <v>0.0006498240961571646</v>
      </c>
      <c r="M122">
        <f aca="true" t="shared" si="34" ref="M122:M155">J122*$K$14</f>
        <v>0.20339494209719253</v>
      </c>
    </row>
    <row r="123" spans="1:13" ht="12.75">
      <c r="A123" s="23">
        <f>200*10^5</f>
        <v>20000000</v>
      </c>
      <c r="B123" s="82">
        <f aca="true" t="shared" si="35" ref="B123:B155">A123/10^5</f>
        <v>200</v>
      </c>
      <c r="C123" s="23">
        <f t="shared" si="29"/>
        <v>-5.05984522494496E-06</v>
      </c>
      <c r="D123" s="23">
        <f t="shared" si="30"/>
        <v>317.7463110815545</v>
      </c>
      <c r="E123" s="23">
        <f t="shared" si="31"/>
        <v>-4977079768.426328</v>
      </c>
      <c r="F123" s="23">
        <f aca="true" t="shared" si="36" ref="F123:F155">(-D123+SQRT(D123^2-4*C123*E123))/(2*C123)</f>
        <v>29901140.804347277</v>
      </c>
      <c r="G123" s="73">
        <f aca="true" t="shared" si="37" ref="G123:G154">F123/10^5</f>
        <v>299.0114080434728</v>
      </c>
      <c r="H123" s="24">
        <f t="shared" si="32"/>
        <v>99.01140804347277</v>
      </c>
      <c r="I123" s="24">
        <f aca="true" t="shared" si="38" ref="I123:I154">$B$4/10^5-G123</f>
        <v>13.988591956527216</v>
      </c>
      <c r="J123" s="74">
        <f t="shared" si="33"/>
        <v>0.05951562648299718</v>
      </c>
      <c r="K123" s="24">
        <f aca="true" t="shared" si="39" ref="K123:K155">I123+H123</f>
        <v>112.99999999999999</v>
      </c>
      <c r="L123" s="23">
        <f aca="true" t="shared" si="40" ref="L123:L155">M123/K123</f>
        <v>0.0010533739200530474</v>
      </c>
      <c r="M123">
        <f t="shared" si="34"/>
        <v>0.11903125296599436</v>
      </c>
    </row>
    <row r="124" spans="1:13" ht="12.75">
      <c r="A124" s="23">
        <f>A123+10*10^5</f>
        <v>21000000</v>
      </c>
      <c r="B124" s="82">
        <f t="shared" si="35"/>
        <v>210</v>
      </c>
      <c r="C124" s="23">
        <f t="shared" si="29"/>
        <v>-5.05984522494496E-06</v>
      </c>
      <c r="D124" s="23">
        <f t="shared" si="30"/>
        <v>317.7463110815545</v>
      </c>
      <c r="E124" s="23">
        <f t="shared" si="31"/>
        <v>-4978079768.426328</v>
      </c>
      <c r="F124" s="23">
        <f t="shared" si="36"/>
        <v>29968642.354268197</v>
      </c>
      <c r="G124" s="73">
        <f t="shared" si="37"/>
        <v>299.68642354268195</v>
      </c>
      <c r="H124" s="24">
        <f t="shared" si="32"/>
        <v>89.68642354268196</v>
      </c>
      <c r="I124" s="24">
        <f t="shared" si="38"/>
        <v>13.31357645731805</v>
      </c>
      <c r="J124" s="74">
        <f t="shared" si="33"/>
        <v>0.05664371696944366</v>
      </c>
      <c r="K124" s="24">
        <f t="shared" si="39"/>
        <v>103.00000000000001</v>
      </c>
      <c r="L124" s="23">
        <f t="shared" si="40"/>
        <v>0.0010998779994066728</v>
      </c>
      <c r="M124">
        <f t="shared" si="34"/>
        <v>0.11328743393888732</v>
      </c>
    </row>
    <row r="125" spans="1:13" ht="12.75">
      <c r="A125" s="23">
        <f aca="true" t="shared" si="41" ref="A125:A132">A124+10*10^5</f>
        <v>22000000</v>
      </c>
      <c r="B125" s="82">
        <f t="shared" si="35"/>
        <v>220</v>
      </c>
      <c r="C125" s="23">
        <f t="shared" si="29"/>
        <v>-5.05984522494496E-06</v>
      </c>
      <c r="D125" s="23">
        <f t="shared" si="30"/>
        <v>317.7463110815545</v>
      </c>
      <c r="E125" s="23">
        <f t="shared" si="31"/>
        <v>-4979079768.426328</v>
      </c>
      <c r="F125" s="23">
        <f t="shared" si="36"/>
        <v>30039491.781647176</v>
      </c>
      <c r="G125" s="73">
        <f t="shared" si="37"/>
        <v>300.3949178164718</v>
      </c>
      <c r="H125" s="24">
        <f t="shared" si="32"/>
        <v>80.39491781647176</v>
      </c>
      <c r="I125" s="24">
        <f t="shared" si="38"/>
        <v>12.605082183528225</v>
      </c>
      <c r="J125" s="74">
        <f t="shared" si="33"/>
        <v>0.05362936922842317</v>
      </c>
      <c r="K125" s="24">
        <f t="shared" si="39"/>
        <v>92.99999999999999</v>
      </c>
      <c r="L125" s="23">
        <f t="shared" si="40"/>
        <v>0.0011533197683531867</v>
      </c>
      <c r="M125">
        <f t="shared" si="34"/>
        <v>0.10725873845684634</v>
      </c>
    </row>
    <row r="126" spans="1:13" ht="12.75">
      <c r="A126" s="23">
        <f t="shared" si="41"/>
        <v>23000000</v>
      </c>
      <c r="B126" s="82">
        <f t="shared" si="35"/>
        <v>230</v>
      </c>
      <c r="C126" s="23">
        <f t="shared" si="29"/>
        <v>-5.05984522494496E-06</v>
      </c>
      <c r="D126" s="23">
        <f t="shared" si="30"/>
        <v>317.7463110815545</v>
      </c>
      <c r="E126" s="23">
        <f t="shared" si="31"/>
        <v>-4980079768.426328</v>
      </c>
      <c r="F126" s="23">
        <f t="shared" si="36"/>
        <v>30114242.91370872</v>
      </c>
      <c r="G126" s="73">
        <f t="shared" si="37"/>
        <v>301.1424291370872</v>
      </c>
      <c r="H126" s="24">
        <f t="shared" si="32"/>
        <v>71.1424291370872</v>
      </c>
      <c r="I126" s="24">
        <f t="shared" si="38"/>
        <v>11.85757086291278</v>
      </c>
      <c r="J126" s="74">
        <f t="shared" si="33"/>
        <v>0.05044902022061599</v>
      </c>
      <c r="K126" s="24">
        <f t="shared" si="39"/>
        <v>82.99999999999999</v>
      </c>
      <c r="L126" s="23">
        <f t="shared" si="40"/>
        <v>0.0012156390414606265</v>
      </c>
      <c r="M126">
        <f t="shared" si="34"/>
        <v>0.10089804044123198</v>
      </c>
    </row>
    <row r="127" spans="1:13" ht="12.75">
      <c r="A127" s="23">
        <f t="shared" si="41"/>
        <v>24000000</v>
      </c>
      <c r="B127" s="82">
        <f t="shared" si="35"/>
        <v>240</v>
      </c>
      <c r="C127" s="23">
        <f t="shared" si="29"/>
        <v>-5.05984522494496E-06</v>
      </c>
      <c r="D127" s="23">
        <f t="shared" si="30"/>
        <v>317.7463110815545</v>
      </c>
      <c r="E127" s="23">
        <f t="shared" si="31"/>
        <v>-4981079768.426328</v>
      </c>
      <c r="F127" s="23">
        <f t="shared" si="36"/>
        <v>30193621.530616146</v>
      </c>
      <c r="G127" s="73">
        <f t="shared" si="37"/>
        <v>301.93621530616144</v>
      </c>
      <c r="H127" s="24">
        <f t="shared" si="32"/>
        <v>61.93621530616146</v>
      </c>
      <c r="I127" s="24">
        <f t="shared" si="38"/>
        <v>11.063784693838556</v>
      </c>
      <c r="J127" s="74">
        <f t="shared" si="33"/>
        <v>0.04707179102608305</v>
      </c>
      <c r="K127" s="24">
        <f t="shared" si="39"/>
        <v>73.00000000000001</v>
      </c>
      <c r="L127" s="23">
        <f t="shared" si="40"/>
        <v>0.001289638110303645</v>
      </c>
      <c r="M127">
        <f t="shared" si="34"/>
        <v>0.0941435820521661</v>
      </c>
    </row>
    <row r="128" spans="1:13" ht="12.75">
      <c r="A128" s="23">
        <f t="shared" si="41"/>
        <v>25000000</v>
      </c>
      <c r="B128" s="82">
        <f t="shared" si="35"/>
        <v>250</v>
      </c>
      <c r="C128" s="23">
        <f t="shared" si="29"/>
        <v>-5.05984522494496E-06</v>
      </c>
      <c r="D128" s="23">
        <f t="shared" si="30"/>
        <v>317.7463110815545</v>
      </c>
      <c r="E128" s="23">
        <f t="shared" si="31"/>
        <v>-4982079768.426328</v>
      </c>
      <c r="F128" s="23">
        <f t="shared" si="36"/>
        <v>30278610.921413634</v>
      </c>
      <c r="G128" s="73">
        <f t="shared" si="37"/>
        <v>302.78610921413633</v>
      </c>
      <c r="H128" s="24">
        <f t="shared" si="32"/>
        <v>52.78610921413634</v>
      </c>
      <c r="I128" s="24">
        <f t="shared" si="38"/>
        <v>10.213890785863668</v>
      </c>
      <c r="J128" s="74">
        <f t="shared" si="33"/>
        <v>0.04345584679564134</v>
      </c>
      <c r="K128" s="24">
        <f t="shared" si="39"/>
        <v>63.00000000000001</v>
      </c>
      <c r="L128" s="23">
        <f t="shared" si="40"/>
        <v>0.0013795506919251216</v>
      </c>
      <c r="M128">
        <f t="shared" si="34"/>
        <v>0.08691169359128267</v>
      </c>
    </row>
    <row r="129" spans="1:13" ht="12.75">
      <c r="A129" s="23">
        <f t="shared" si="41"/>
        <v>26000000</v>
      </c>
      <c r="B129" s="82">
        <f t="shared" si="35"/>
        <v>260</v>
      </c>
      <c r="C129" s="23">
        <f t="shared" si="29"/>
        <v>-5.05984522494496E-06</v>
      </c>
      <c r="D129" s="23">
        <f t="shared" si="30"/>
        <v>317.7463110815545</v>
      </c>
      <c r="E129" s="23">
        <f t="shared" si="31"/>
        <v>-4983079768.426328</v>
      </c>
      <c r="F129" s="23">
        <f t="shared" si="36"/>
        <v>30370601.457855653</v>
      </c>
      <c r="G129" s="73">
        <f t="shared" si="37"/>
        <v>303.7060145785565</v>
      </c>
      <c r="H129" s="24">
        <f t="shared" si="32"/>
        <v>43.70601457855653</v>
      </c>
      <c r="I129" s="24">
        <f t="shared" si="38"/>
        <v>9.293985421443494</v>
      </c>
      <c r="J129" s="74">
        <f t="shared" si="33"/>
        <v>0.03954203300804343</v>
      </c>
      <c r="K129" s="24">
        <f t="shared" si="39"/>
        <v>53.00000000000002</v>
      </c>
      <c r="L129" s="23">
        <f t="shared" si="40"/>
        <v>0.0014921521889827705</v>
      </c>
      <c r="M129">
        <f t="shared" si="34"/>
        <v>0.07908406601608686</v>
      </c>
    </row>
    <row r="130" spans="1:13" ht="12.75">
      <c r="A130" s="23">
        <f t="shared" si="41"/>
        <v>27000000</v>
      </c>
      <c r="B130" s="82">
        <f t="shared" si="35"/>
        <v>270</v>
      </c>
      <c r="C130" s="23">
        <f t="shared" si="29"/>
        <v>-5.05984522494496E-06</v>
      </c>
      <c r="D130" s="23">
        <f t="shared" si="30"/>
        <v>317.7463110815545</v>
      </c>
      <c r="E130" s="23">
        <f t="shared" si="31"/>
        <v>-4984079768.426328</v>
      </c>
      <c r="F130" s="23">
        <f t="shared" si="36"/>
        <v>30471674.751859147</v>
      </c>
      <c r="G130" s="73">
        <f t="shared" si="37"/>
        <v>304.7167475185915</v>
      </c>
      <c r="H130" s="24">
        <f t="shared" si="32"/>
        <v>34.71674751859147</v>
      </c>
      <c r="I130" s="24">
        <f t="shared" si="38"/>
        <v>8.28325248140851</v>
      </c>
      <c r="J130" s="74">
        <f t="shared" si="33"/>
        <v>0.035241785755130144</v>
      </c>
      <c r="K130" s="24">
        <f t="shared" si="39"/>
        <v>42.99999999999998</v>
      </c>
      <c r="L130" s="23">
        <f t="shared" si="40"/>
        <v>0.0016391528258200075</v>
      </c>
      <c r="M130">
        <f t="shared" si="34"/>
        <v>0.07048357151026029</v>
      </c>
    </row>
    <row r="131" spans="1:13" ht="12.75">
      <c r="A131" s="23">
        <f t="shared" si="41"/>
        <v>28000000</v>
      </c>
      <c r="B131" s="82">
        <f t="shared" si="35"/>
        <v>280</v>
      </c>
      <c r="C131" s="23">
        <f t="shared" si="29"/>
        <v>-5.05984522494496E-06</v>
      </c>
      <c r="D131" s="23">
        <f t="shared" si="30"/>
        <v>317.7463110815545</v>
      </c>
      <c r="E131" s="23">
        <f t="shared" si="31"/>
        <v>-4985079768.426328</v>
      </c>
      <c r="F131" s="23">
        <f t="shared" si="36"/>
        <v>30585208.80083704</v>
      </c>
      <c r="G131" s="73">
        <f t="shared" si="37"/>
        <v>305.8520880083704</v>
      </c>
      <c r="H131" s="24">
        <f t="shared" si="32"/>
        <v>25.852088008370398</v>
      </c>
      <c r="I131" s="24">
        <f t="shared" si="38"/>
        <v>7.147911991629599</v>
      </c>
      <c r="J131" s="74">
        <f t="shared" si="33"/>
        <v>0.030411385330934727</v>
      </c>
      <c r="K131" s="24">
        <f t="shared" si="39"/>
        <v>33</v>
      </c>
      <c r="L131" s="23">
        <f t="shared" si="40"/>
        <v>0.0018431142624808926</v>
      </c>
      <c r="M131">
        <f t="shared" si="34"/>
        <v>0.06082277066186945</v>
      </c>
    </row>
    <row r="132" spans="1:13" ht="12.75">
      <c r="A132" s="23">
        <f t="shared" si="41"/>
        <v>29000000</v>
      </c>
      <c r="B132" s="82">
        <f t="shared" si="35"/>
        <v>290</v>
      </c>
      <c r="C132" s="23">
        <f t="shared" si="29"/>
        <v>-5.05984522494496E-06</v>
      </c>
      <c r="D132" s="23">
        <f t="shared" si="30"/>
        <v>317.7463110815545</v>
      </c>
      <c r="E132" s="23">
        <f t="shared" si="31"/>
        <v>-4986079768.426328</v>
      </c>
      <c r="F132" s="23">
        <f t="shared" si="36"/>
        <v>30717403.862026602</v>
      </c>
      <c r="G132" s="73">
        <f t="shared" si="37"/>
        <v>307.174038620266</v>
      </c>
      <c r="H132" s="24">
        <f t="shared" si="32"/>
        <v>17.17403862026602</v>
      </c>
      <c r="I132" s="24">
        <f t="shared" si="38"/>
        <v>5.825961379733997</v>
      </c>
      <c r="J132" s="74">
        <f t="shared" si="33"/>
        <v>0.02478703664086961</v>
      </c>
      <c r="K132" s="24">
        <f t="shared" si="39"/>
        <v>23.000000000000018</v>
      </c>
      <c r="L132" s="23">
        <f t="shared" si="40"/>
        <v>0.002155394490510399</v>
      </c>
      <c r="M132">
        <f t="shared" si="34"/>
        <v>0.04957407328173922</v>
      </c>
    </row>
    <row r="133" spans="1:13" ht="12.75">
      <c r="A133" s="23">
        <f>A132+10^5</f>
        <v>29100000</v>
      </c>
      <c r="B133" s="82">
        <f t="shared" si="35"/>
        <v>291</v>
      </c>
      <c r="C133" s="23">
        <f t="shared" si="29"/>
        <v>-5.05984522494496E-06</v>
      </c>
      <c r="D133" s="23">
        <f t="shared" si="30"/>
        <v>317.7463110815545</v>
      </c>
      <c r="E133" s="23">
        <f t="shared" si="31"/>
        <v>-4986179768.426328</v>
      </c>
      <c r="F133" s="23">
        <f t="shared" si="36"/>
        <v>30732063.35612999</v>
      </c>
      <c r="G133" s="73">
        <f t="shared" si="37"/>
        <v>307.32063356129987</v>
      </c>
      <c r="H133" s="24">
        <f t="shared" si="32"/>
        <v>16.32063356129989</v>
      </c>
      <c r="I133" s="24">
        <f t="shared" si="38"/>
        <v>5.679366438700129</v>
      </c>
      <c r="J133" s="74">
        <f t="shared" si="33"/>
        <v>0.024163336286896687</v>
      </c>
      <c r="K133" s="24">
        <f t="shared" si="39"/>
        <v>22.000000000000018</v>
      </c>
      <c r="L133" s="23">
        <f t="shared" si="40"/>
        <v>0.002196666935172424</v>
      </c>
      <c r="M133">
        <f t="shared" si="34"/>
        <v>0.048326672573793375</v>
      </c>
    </row>
    <row r="134" spans="1:13" ht="12.75">
      <c r="A134" s="23">
        <f aca="true" t="shared" si="42" ref="A134:A148">A133+10^5</f>
        <v>29200000</v>
      </c>
      <c r="B134" s="82">
        <f t="shared" si="35"/>
        <v>292</v>
      </c>
      <c r="C134" s="23">
        <f t="shared" si="29"/>
        <v>-5.05984522494496E-06</v>
      </c>
      <c r="D134" s="23">
        <f t="shared" si="30"/>
        <v>317.7463110815545</v>
      </c>
      <c r="E134" s="23">
        <f t="shared" si="31"/>
        <v>-4986279768.426328</v>
      </c>
      <c r="F134" s="23">
        <f t="shared" si="36"/>
        <v>30747052.48823891</v>
      </c>
      <c r="G134" s="73">
        <f t="shared" si="37"/>
        <v>307.4705248823891</v>
      </c>
      <c r="H134" s="24">
        <f t="shared" si="32"/>
        <v>15.470524882389084</v>
      </c>
      <c r="I134" s="24">
        <f t="shared" si="38"/>
        <v>5.5294751176109</v>
      </c>
      <c r="J134" s="74">
        <f t="shared" si="33"/>
        <v>0.02352561121015479</v>
      </c>
      <c r="K134" s="24">
        <f t="shared" si="39"/>
        <v>20.999999999999986</v>
      </c>
      <c r="L134" s="23">
        <f t="shared" si="40"/>
        <v>0.0022405344009671243</v>
      </c>
      <c r="M134">
        <f t="shared" si="34"/>
        <v>0.04705122242030958</v>
      </c>
    </row>
    <row r="135" spans="1:13" ht="12.75">
      <c r="A135" s="23">
        <f t="shared" si="42"/>
        <v>29300000</v>
      </c>
      <c r="B135" s="82">
        <f t="shared" si="35"/>
        <v>293</v>
      </c>
      <c r="C135" s="23">
        <f t="shared" si="29"/>
        <v>-5.05984522494496E-06</v>
      </c>
      <c r="D135" s="23">
        <f t="shared" si="30"/>
        <v>317.7463110815545</v>
      </c>
      <c r="E135" s="23">
        <f t="shared" si="31"/>
        <v>-4986379768.426328</v>
      </c>
      <c r="F135" s="23">
        <f t="shared" si="36"/>
        <v>30762394.548992775</v>
      </c>
      <c r="G135" s="73">
        <f t="shared" si="37"/>
        <v>307.62394548992773</v>
      </c>
      <c r="H135" s="24">
        <f t="shared" si="32"/>
        <v>14.623945489927754</v>
      </c>
      <c r="I135" s="24">
        <f t="shared" si="38"/>
        <v>5.376054510072265</v>
      </c>
      <c r="J135" s="74">
        <f t="shared" si="33"/>
        <v>0.02287287049104293</v>
      </c>
      <c r="K135" s="24">
        <f t="shared" si="39"/>
        <v>20.00000000000002</v>
      </c>
      <c r="L135" s="23">
        <f t="shared" si="40"/>
        <v>0.0022872870491042903</v>
      </c>
      <c r="M135">
        <f t="shared" si="34"/>
        <v>0.04574574098208586</v>
      </c>
    </row>
    <row r="136" spans="1:13" ht="12.75">
      <c r="A136" s="23">
        <f t="shared" si="42"/>
        <v>29400000</v>
      </c>
      <c r="B136" s="82">
        <f t="shared" si="35"/>
        <v>294</v>
      </c>
      <c r="C136" s="23">
        <f t="shared" si="29"/>
        <v>-5.05984522494496E-06</v>
      </c>
      <c r="D136" s="23">
        <f t="shared" si="30"/>
        <v>317.7463110815545</v>
      </c>
      <c r="E136" s="23">
        <f t="shared" si="31"/>
        <v>-4986479768.426328</v>
      </c>
      <c r="F136" s="23">
        <f t="shared" si="36"/>
        <v>30778115.708159856</v>
      </c>
      <c r="G136" s="73">
        <f t="shared" si="37"/>
        <v>307.78115708159856</v>
      </c>
      <c r="H136" s="24">
        <f t="shared" si="32"/>
        <v>13.781157081598565</v>
      </c>
      <c r="I136" s="24">
        <f t="shared" si="38"/>
        <v>5.218842918401435</v>
      </c>
      <c r="J136" s="74">
        <f t="shared" si="33"/>
        <v>0.02220400071503151</v>
      </c>
      <c r="K136" s="24">
        <f t="shared" si="39"/>
        <v>19</v>
      </c>
      <c r="L136" s="23">
        <f t="shared" si="40"/>
        <v>0.0023372632331612117</v>
      </c>
      <c r="M136">
        <f t="shared" si="34"/>
        <v>0.04440800143006302</v>
      </c>
    </row>
    <row r="137" spans="1:13" ht="12.75">
      <c r="A137" s="23">
        <f t="shared" si="42"/>
        <v>29500000</v>
      </c>
      <c r="B137" s="82">
        <f t="shared" si="35"/>
        <v>295</v>
      </c>
      <c r="C137" s="23">
        <f t="shared" si="29"/>
        <v>-5.05984522494496E-06</v>
      </c>
      <c r="D137" s="23">
        <f t="shared" si="30"/>
        <v>317.7463110815545</v>
      </c>
      <c r="E137" s="23">
        <f t="shared" si="31"/>
        <v>-4986579768.426328</v>
      </c>
      <c r="F137" s="23">
        <f t="shared" si="36"/>
        <v>30794245.539009765</v>
      </c>
      <c r="G137" s="73">
        <f t="shared" si="37"/>
        <v>307.9424553900976</v>
      </c>
      <c r="H137" s="24">
        <f t="shared" si="32"/>
        <v>12.942455390097647</v>
      </c>
      <c r="I137" s="24">
        <f t="shared" si="38"/>
        <v>5.057544609902379</v>
      </c>
      <c r="J137" s="74">
        <f t="shared" si="33"/>
        <v>0.02151774366279894</v>
      </c>
      <c r="K137" s="24">
        <f t="shared" si="39"/>
        <v>18.00000000000003</v>
      </c>
      <c r="L137" s="23">
        <f t="shared" si="40"/>
        <v>0.0023908604069776563</v>
      </c>
      <c r="M137">
        <f t="shared" si="34"/>
        <v>0.04303548732559788</v>
      </c>
    </row>
    <row r="138" spans="1:13" ht="12.75">
      <c r="A138" s="23">
        <f t="shared" si="42"/>
        <v>29600000</v>
      </c>
      <c r="B138" s="82">
        <f t="shared" si="35"/>
        <v>296</v>
      </c>
      <c r="C138" s="23">
        <f t="shared" si="29"/>
        <v>-5.05984522494496E-06</v>
      </c>
      <c r="D138" s="23">
        <f t="shared" si="30"/>
        <v>317.7463110815545</v>
      </c>
      <c r="E138" s="23">
        <f t="shared" si="31"/>
        <v>-4986679768.426328</v>
      </c>
      <c r="F138" s="23">
        <f t="shared" si="36"/>
        <v>30810817.672263682</v>
      </c>
      <c r="G138" s="73">
        <f t="shared" si="37"/>
        <v>308.1081767226368</v>
      </c>
      <c r="H138" s="24">
        <f t="shared" si="32"/>
        <v>12.108176722636818</v>
      </c>
      <c r="I138" s="24">
        <f t="shared" si="38"/>
        <v>4.891823277363187</v>
      </c>
      <c r="J138" s="74">
        <f t="shared" si="33"/>
        <v>0.020812668487376177</v>
      </c>
      <c r="K138" s="24">
        <f t="shared" si="39"/>
        <v>17.000000000000007</v>
      </c>
      <c r="L138" s="23">
        <f t="shared" si="40"/>
        <v>0.002448549233808961</v>
      </c>
      <c r="M138">
        <f t="shared" si="34"/>
        <v>0.041625336974752354</v>
      </c>
    </row>
    <row r="139" spans="1:13" ht="12.75">
      <c r="A139" s="23">
        <f t="shared" si="42"/>
        <v>29700000</v>
      </c>
      <c r="B139" s="82">
        <f t="shared" si="35"/>
        <v>297</v>
      </c>
      <c r="C139" s="23">
        <f t="shared" si="29"/>
        <v>-5.05984522494496E-06</v>
      </c>
      <c r="D139" s="23">
        <f t="shared" si="30"/>
        <v>317.7463110815545</v>
      </c>
      <c r="E139" s="23">
        <f t="shared" si="31"/>
        <v>-4986779768.426328</v>
      </c>
      <c r="F139" s="23">
        <f t="shared" si="36"/>
        <v>30827870.621050794</v>
      </c>
      <c r="G139" s="73">
        <f t="shared" si="37"/>
        <v>308.27870621050795</v>
      </c>
      <c r="H139" s="24">
        <f t="shared" si="32"/>
        <v>11.278706210507936</v>
      </c>
      <c r="I139" s="24">
        <f t="shared" si="38"/>
        <v>4.7212937894920515</v>
      </c>
      <c r="J139" s="74">
        <f t="shared" si="33"/>
        <v>0.02008713661568994</v>
      </c>
      <c r="K139" s="24">
        <f t="shared" si="39"/>
        <v>15.999999999999988</v>
      </c>
      <c r="L139" s="23">
        <f t="shared" si="40"/>
        <v>0.002510892076961244</v>
      </c>
      <c r="M139">
        <f t="shared" si="34"/>
        <v>0.04017427323137988</v>
      </c>
    </row>
    <row r="140" spans="1:13" ht="12.75">
      <c r="A140" s="23">
        <f t="shared" si="42"/>
        <v>29800000</v>
      </c>
      <c r="B140" s="82">
        <f t="shared" si="35"/>
        <v>298</v>
      </c>
      <c r="C140" s="23">
        <f t="shared" si="29"/>
        <v>-5.05984522494496E-06</v>
      </c>
      <c r="D140" s="23">
        <f t="shared" si="30"/>
        <v>317.7463110815545</v>
      </c>
      <c r="E140" s="23">
        <f t="shared" si="31"/>
        <v>-4986879768.426328</v>
      </c>
      <c r="F140" s="23">
        <f t="shared" si="36"/>
        <v>30845448.834926646</v>
      </c>
      <c r="G140" s="73">
        <f t="shared" si="37"/>
        <v>308.45448834926646</v>
      </c>
      <c r="H140" s="24">
        <f t="shared" si="32"/>
        <v>10.454488349266462</v>
      </c>
      <c r="I140" s="24">
        <f t="shared" si="38"/>
        <v>4.545511650733545</v>
      </c>
      <c r="J140" s="74">
        <f t="shared" si="33"/>
        <v>0.019339256904476177</v>
      </c>
      <c r="K140" s="24">
        <f t="shared" si="39"/>
        <v>15.000000000000007</v>
      </c>
      <c r="L140" s="23">
        <f t="shared" si="40"/>
        <v>0.002578567587263489</v>
      </c>
      <c r="M140">
        <f t="shared" si="34"/>
        <v>0.038678513808952354</v>
      </c>
    </row>
    <row r="141" spans="1:13" ht="12.75">
      <c r="A141" s="23">
        <f t="shared" si="42"/>
        <v>29900000</v>
      </c>
      <c r="B141" s="82">
        <f t="shared" si="35"/>
        <v>299</v>
      </c>
      <c r="C141" s="23">
        <f t="shared" si="29"/>
        <v>-5.05984522494496E-06</v>
      </c>
      <c r="D141" s="23">
        <f t="shared" si="30"/>
        <v>317.7463110815545</v>
      </c>
      <c r="E141" s="23">
        <f t="shared" si="31"/>
        <v>-4986979768.426328</v>
      </c>
      <c r="F141" s="23">
        <f t="shared" si="36"/>
        <v>30863604.06584331</v>
      </c>
      <c r="G141" s="73">
        <f t="shared" si="37"/>
        <v>308.6360406584331</v>
      </c>
      <c r="H141" s="24">
        <f t="shared" si="32"/>
        <v>9.636040658433101</v>
      </c>
      <c r="I141" s="24">
        <f t="shared" si="38"/>
        <v>4.363959341566897</v>
      </c>
      <c r="J141" s="74">
        <f t="shared" si="33"/>
        <v>0.01856682752394474</v>
      </c>
      <c r="K141" s="24">
        <f t="shared" si="39"/>
        <v>13.999999999999998</v>
      </c>
      <c r="L141" s="23">
        <f t="shared" si="40"/>
        <v>0.002652403931992106</v>
      </c>
      <c r="M141">
        <f t="shared" si="34"/>
        <v>0.03713365504788948</v>
      </c>
    </row>
    <row r="142" spans="1:13" s="25" customFormat="1" ht="12.75">
      <c r="A142" s="85">
        <f t="shared" si="42"/>
        <v>30000000</v>
      </c>
      <c r="B142" s="85">
        <f t="shared" si="35"/>
        <v>300</v>
      </c>
      <c r="C142" s="85">
        <f t="shared" si="29"/>
        <v>-5.05984522494496E-06</v>
      </c>
      <c r="D142" s="85">
        <f t="shared" si="30"/>
        <v>317.7463110815545</v>
      </c>
      <c r="E142" s="85">
        <f t="shared" si="31"/>
        <v>-4987079768.426328</v>
      </c>
      <c r="F142" s="85">
        <f t="shared" si="36"/>
        <v>30882397.166935824</v>
      </c>
      <c r="G142" s="86">
        <f t="shared" si="37"/>
        <v>308.82397166935823</v>
      </c>
      <c r="H142" s="87">
        <f t="shared" si="32"/>
        <v>8.823971669358238</v>
      </c>
      <c r="I142" s="87">
        <f t="shared" si="38"/>
        <v>4.1760283306417705</v>
      </c>
      <c r="J142" s="74">
        <f t="shared" si="33"/>
        <v>0.017767259426915965</v>
      </c>
      <c r="K142" s="87">
        <f t="shared" si="39"/>
        <v>13.000000000000009</v>
      </c>
      <c r="L142" s="85">
        <f t="shared" si="40"/>
        <v>0.0027334245272178388</v>
      </c>
      <c r="M142" s="25">
        <f t="shared" si="34"/>
        <v>0.03553451885383193</v>
      </c>
    </row>
    <row r="143" spans="1:13" ht="12.75">
      <c r="A143" s="23">
        <f t="shared" si="42"/>
        <v>30100000</v>
      </c>
      <c r="B143" s="82">
        <f t="shared" si="35"/>
        <v>301</v>
      </c>
      <c r="C143" s="23">
        <f t="shared" si="29"/>
        <v>-5.05984522494496E-06</v>
      </c>
      <c r="D143" s="23">
        <f t="shared" si="30"/>
        <v>317.7463110815545</v>
      </c>
      <c r="E143" s="23">
        <f t="shared" si="31"/>
        <v>-4987179768.426328</v>
      </c>
      <c r="F143" s="23">
        <f t="shared" si="36"/>
        <v>30901900.5045672</v>
      </c>
      <c r="G143" s="73">
        <f t="shared" si="37"/>
        <v>309.019005045672</v>
      </c>
      <c r="H143" s="24">
        <f t="shared" si="32"/>
        <v>8.019005045671985</v>
      </c>
      <c r="I143" s="24">
        <f t="shared" si="38"/>
        <v>3.9809949543280254</v>
      </c>
      <c r="J143" s="74">
        <f t="shared" si="33"/>
        <v>0.01693747372636227</v>
      </c>
      <c r="K143" s="24">
        <f t="shared" si="39"/>
        <v>12.00000000000001</v>
      </c>
      <c r="L143" s="23">
        <f t="shared" si="40"/>
        <v>0.0028229122877270426</v>
      </c>
      <c r="M143">
        <f t="shared" si="34"/>
        <v>0.03387494745272454</v>
      </c>
    </row>
    <row r="144" spans="1:13" ht="12.75">
      <c r="A144" s="23">
        <f t="shared" si="42"/>
        <v>30200000</v>
      </c>
      <c r="B144" s="82">
        <f t="shared" si="35"/>
        <v>302</v>
      </c>
      <c r="C144" s="23">
        <f t="shared" si="29"/>
        <v>-5.05984522494496E-06</v>
      </c>
      <c r="D144" s="23">
        <f t="shared" si="30"/>
        <v>317.7463110815545</v>
      </c>
      <c r="E144" s="23">
        <f t="shared" si="31"/>
        <v>-4987279768.426328</v>
      </c>
      <c r="F144" s="23">
        <f t="shared" si="36"/>
        <v>30922201.26034598</v>
      </c>
      <c r="G144" s="73">
        <f t="shared" si="37"/>
        <v>309.2220126034598</v>
      </c>
      <c r="H144" s="24">
        <f t="shared" si="32"/>
        <v>7.222012603459805</v>
      </c>
      <c r="I144" s="24">
        <f t="shared" si="38"/>
        <v>3.7779873965401976</v>
      </c>
      <c r="J144" s="74">
        <f t="shared" si="33"/>
        <v>0.016073761208328048</v>
      </c>
      <c r="K144" s="24">
        <f t="shared" si="39"/>
        <v>11.000000000000004</v>
      </c>
      <c r="L144" s="23">
        <f t="shared" si="40"/>
        <v>0.002922502037877826</v>
      </c>
      <c r="M144">
        <f t="shared" si="34"/>
        <v>0.032147522416656096</v>
      </c>
    </row>
    <row r="145" spans="1:13" ht="12.75">
      <c r="A145" s="23">
        <f t="shared" si="42"/>
        <v>30300000</v>
      </c>
      <c r="B145" s="82">
        <f t="shared" si="35"/>
        <v>303</v>
      </c>
      <c r="C145" s="23">
        <f t="shared" si="29"/>
        <v>-5.05984522494496E-06</v>
      </c>
      <c r="D145" s="23">
        <f t="shared" si="30"/>
        <v>317.7463110815545</v>
      </c>
      <c r="E145" s="23">
        <f t="shared" si="31"/>
        <v>-4987379768.426328</v>
      </c>
      <c r="F145" s="23">
        <f t="shared" si="36"/>
        <v>30943406.06074379</v>
      </c>
      <c r="G145" s="73">
        <f t="shared" si="37"/>
        <v>309.4340606074379</v>
      </c>
      <c r="H145" s="24">
        <f t="shared" si="32"/>
        <v>6.434060607437901</v>
      </c>
      <c r="I145" s="24">
        <f t="shared" si="38"/>
        <v>3.565939392562086</v>
      </c>
      <c r="J145" s="74">
        <f t="shared" si="33"/>
        <v>0.015171585361005777</v>
      </c>
      <c r="K145" s="24">
        <f t="shared" si="39"/>
        <v>9.999999999999988</v>
      </c>
      <c r="L145" s="23">
        <f t="shared" si="40"/>
        <v>0.003034317072201159</v>
      </c>
      <c r="M145">
        <f t="shared" si="34"/>
        <v>0.030343170722011554</v>
      </c>
    </row>
    <row r="146" spans="1:13" ht="12.75">
      <c r="A146" s="23">
        <f t="shared" si="42"/>
        <v>30400000</v>
      </c>
      <c r="B146" s="82">
        <f t="shared" si="35"/>
        <v>304</v>
      </c>
      <c r="C146" s="23">
        <f t="shared" si="29"/>
        <v>-5.05984522494496E-06</v>
      </c>
      <c r="D146" s="23">
        <f t="shared" si="30"/>
        <v>317.7463110815545</v>
      </c>
      <c r="E146" s="23">
        <f t="shared" si="31"/>
        <v>-4987479768.426328</v>
      </c>
      <c r="F146" s="23">
        <f t="shared" si="36"/>
        <v>30965647.651563663</v>
      </c>
      <c r="G146" s="73">
        <f t="shared" si="37"/>
        <v>309.65647651563665</v>
      </c>
      <c r="H146" s="24">
        <f t="shared" si="32"/>
        <v>5.656476515636631</v>
      </c>
      <c r="I146" s="24">
        <f t="shared" si="38"/>
        <v>3.3435234843633452</v>
      </c>
      <c r="J146" s="74">
        <f t="shared" si="33"/>
        <v>0.014225298403936054</v>
      </c>
      <c r="K146" s="24">
        <f t="shared" si="39"/>
        <v>8.999999999999975</v>
      </c>
      <c r="L146" s="23">
        <f t="shared" si="40"/>
        <v>0.0031611774230969098</v>
      </c>
      <c r="M146">
        <f t="shared" si="34"/>
        <v>0.028450596807872108</v>
      </c>
    </row>
    <row r="147" spans="1:13" ht="12.75">
      <c r="A147" s="23">
        <f t="shared" si="42"/>
        <v>30500000</v>
      </c>
      <c r="B147" s="82">
        <f t="shared" si="35"/>
        <v>305</v>
      </c>
      <c r="C147" s="23">
        <f t="shared" si="29"/>
        <v>-5.05984522494496E-06</v>
      </c>
      <c r="D147" s="23">
        <f t="shared" si="30"/>
        <v>317.7463110815545</v>
      </c>
      <c r="E147" s="23">
        <f t="shared" si="31"/>
        <v>-4987579768.426328</v>
      </c>
      <c r="F147" s="23">
        <f t="shared" si="36"/>
        <v>30989094.843090635</v>
      </c>
      <c r="G147" s="73">
        <f t="shared" si="37"/>
        <v>309.89094843090635</v>
      </c>
      <c r="H147" s="24">
        <f t="shared" si="32"/>
        <v>4.890948430906348</v>
      </c>
      <c r="I147" s="24">
        <f t="shared" si="38"/>
        <v>3.1090515690936513</v>
      </c>
      <c r="J147" s="74">
        <f t="shared" si="33"/>
        <v>0.013227718163314764</v>
      </c>
      <c r="K147" s="24">
        <f t="shared" si="39"/>
        <v>7.999999999999999</v>
      </c>
      <c r="L147" s="23">
        <f t="shared" si="40"/>
        <v>0.0033069295408286914</v>
      </c>
      <c r="M147">
        <f t="shared" si="34"/>
        <v>0.026455436326629528</v>
      </c>
    </row>
    <row r="148" spans="1:13" ht="12.75">
      <c r="A148" s="23">
        <f t="shared" si="42"/>
        <v>30600000</v>
      </c>
      <c r="B148" s="82">
        <f t="shared" si="35"/>
        <v>306</v>
      </c>
      <c r="C148" s="23">
        <f t="shared" si="29"/>
        <v>-5.05984522494496E-06</v>
      </c>
      <c r="D148" s="23">
        <f t="shared" si="30"/>
        <v>317.7463110815545</v>
      </c>
      <c r="E148" s="23">
        <f t="shared" si="31"/>
        <v>-4987679768.426328</v>
      </c>
      <c r="F148" s="23">
        <f t="shared" si="36"/>
        <v>31013967.92826074</v>
      </c>
      <c r="G148" s="73">
        <f t="shared" si="37"/>
        <v>310.1396792826074</v>
      </c>
      <c r="H148" s="24">
        <f t="shared" si="32"/>
        <v>4.139679282607399</v>
      </c>
      <c r="I148" s="24">
        <f t="shared" si="38"/>
        <v>2.8603207173925966</v>
      </c>
      <c r="J148" s="74">
        <f t="shared" si="33"/>
        <v>0.012169472093185448</v>
      </c>
      <c r="K148" s="24">
        <f t="shared" si="39"/>
        <v>6.999999999999996</v>
      </c>
      <c r="L148" s="23">
        <f t="shared" si="40"/>
        <v>0.0034769920266244157</v>
      </c>
      <c r="M148">
        <f t="shared" si="34"/>
        <v>0.024338944186370896</v>
      </c>
    </row>
    <row r="149" spans="1:13" ht="12.75">
      <c r="A149" s="23">
        <f>A148+10^5</f>
        <v>30700000</v>
      </c>
      <c r="B149" s="82">
        <f t="shared" si="35"/>
        <v>307</v>
      </c>
      <c r="C149" s="23">
        <f t="shared" si="29"/>
        <v>-5.05984522494496E-06</v>
      </c>
      <c r="D149" s="23">
        <f t="shared" si="30"/>
        <v>317.7463110815545</v>
      </c>
      <c r="E149" s="23">
        <f t="shared" si="31"/>
        <v>-4987779768.426328</v>
      </c>
      <c r="F149" s="23">
        <f t="shared" si="36"/>
        <v>31040563.778043304</v>
      </c>
      <c r="G149" s="73">
        <f t="shared" si="37"/>
        <v>310.40563778043304</v>
      </c>
      <c r="H149" s="24">
        <f t="shared" si="32"/>
        <v>3.4056377804330364</v>
      </c>
      <c r="I149" s="24">
        <f t="shared" si="38"/>
        <v>2.5943622195669604</v>
      </c>
      <c r="J149" s="74">
        <f t="shared" si="33"/>
        <v>0.011037929571553468</v>
      </c>
      <c r="K149" s="24">
        <f t="shared" si="39"/>
        <v>5.9999999999999964</v>
      </c>
      <c r="L149" s="23">
        <f t="shared" si="40"/>
        <v>0.0036793098571844913</v>
      </c>
      <c r="M149">
        <f t="shared" si="34"/>
        <v>0.022075859143106936</v>
      </c>
    </row>
    <row r="150" spans="1:13" ht="12.75">
      <c r="A150" s="23">
        <f aca="true" t="shared" si="43" ref="A150:A155">A149+10^5</f>
        <v>30800000</v>
      </c>
      <c r="B150" s="82">
        <f t="shared" si="35"/>
        <v>308</v>
      </c>
      <c r="C150" s="23">
        <f t="shared" si="29"/>
        <v>-5.05984522494496E-06</v>
      </c>
      <c r="D150" s="23">
        <f t="shared" si="30"/>
        <v>317.7463110815545</v>
      </c>
      <c r="E150" s="23">
        <f t="shared" si="31"/>
        <v>-4987879768.426328</v>
      </c>
      <c r="F150" s="23">
        <f t="shared" si="36"/>
        <v>31069299.26884721</v>
      </c>
      <c r="G150" s="73">
        <f t="shared" si="37"/>
        <v>310.6929926884721</v>
      </c>
      <c r="H150" s="24">
        <f t="shared" si="32"/>
        <v>2.6929926884720845</v>
      </c>
      <c r="I150" s="24">
        <f t="shared" si="38"/>
        <v>2.3070073115279115</v>
      </c>
      <c r="J150" s="74">
        <f t="shared" si="33"/>
        <v>0.009815354245312147</v>
      </c>
      <c r="K150" s="24">
        <f t="shared" si="39"/>
        <v>4.9999999999999964</v>
      </c>
      <c r="L150" s="23">
        <f t="shared" si="40"/>
        <v>0.003926141698124862</v>
      </c>
      <c r="M150">
        <f t="shared" si="34"/>
        <v>0.019630708490624295</v>
      </c>
    </row>
    <row r="151" spans="1:13" ht="12.75">
      <c r="A151" s="23">
        <f t="shared" si="43"/>
        <v>30900000</v>
      </c>
      <c r="B151" s="82">
        <f t="shared" si="35"/>
        <v>309</v>
      </c>
      <c r="C151" s="23">
        <f t="shared" si="29"/>
        <v>-5.05984522494496E-06</v>
      </c>
      <c r="D151" s="23">
        <f t="shared" si="30"/>
        <v>317.7463110815545</v>
      </c>
      <c r="E151" s="23">
        <f t="shared" si="31"/>
        <v>-4987979768.426328</v>
      </c>
      <c r="F151" s="23">
        <f t="shared" si="36"/>
        <v>31100792.6710685</v>
      </c>
      <c r="G151" s="73">
        <f t="shared" si="37"/>
        <v>311.007926710685</v>
      </c>
      <c r="H151" s="24">
        <f t="shared" si="32"/>
        <v>2.007926710685007</v>
      </c>
      <c r="I151" s="24">
        <f t="shared" si="38"/>
        <v>1.9920732893149875</v>
      </c>
      <c r="J151" s="74">
        <f t="shared" si="33"/>
        <v>0.008475441286877019</v>
      </c>
      <c r="K151" s="24">
        <f t="shared" si="39"/>
        <v>3.9999999999999947</v>
      </c>
      <c r="L151" s="23">
        <f t="shared" si="40"/>
        <v>0.0042377206434385155</v>
      </c>
      <c r="M151">
        <f t="shared" si="34"/>
        <v>0.016950882573754038</v>
      </c>
    </row>
    <row r="152" spans="1:13" ht="12.75">
      <c r="A152" s="23">
        <f t="shared" si="43"/>
        <v>31000000</v>
      </c>
      <c r="B152" s="82">
        <f t="shared" si="35"/>
        <v>310</v>
      </c>
      <c r="C152" s="23">
        <f t="shared" si="29"/>
        <v>-5.05984522494496E-06</v>
      </c>
      <c r="D152" s="23">
        <f t="shared" si="30"/>
        <v>317.7463110815545</v>
      </c>
      <c r="E152" s="23">
        <f t="shared" si="31"/>
        <v>-4988079768.426328</v>
      </c>
      <c r="F152" s="23">
        <f t="shared" si="36"/>
        <v>31136033.690001607</v>
      </c>
      <c r="G152" s="73">
        <f t="shared" si="37"/>
        <v>311.3603369000161</v>
      </c>
      <c r="H152" s="24">
        <f t="shared" si="32"/>
        <v>1.3603369000160694</v>
      </c>
      <c r="I152" s="24">
        <f t="shared" si="38"/>
        <v>1.6396630999839203</v>
      </c>
      <c r="J152" s="74">
        <f t="shared" si="33"/>
        <v>0.0069760828623686</v>
      </c>
      <c r="K152" s="24">
        <f t="shared" si="39"/>
        <v>2.99999999999999</v>
      </c>
      <c r="L152" s="23">
        <f t="shared" si="40"/>
        <v>0.0046507219082457495</v>
      </c>
      <c r="M152">
        <f t="shared" si="34"/>
        <v>0.0139521657247372</v>
      </c>
    </row>
    <row r="153" spans="1:13" ht="12.75">
      <c r="A153" s="23">
        <f t="shared" si="43"/>
        <v>31100000</v>
      </c>
      <c r="B153" s="82">
        <f t="shared" si="35"/>
        <v>311</v>
      </c>
      <c r="C153" s="23">
        <f t="shared" si="29"/>
        <v>-5.05984522494496E-06</v>
      </c>
      <c r="D153" s="23">
        <f t="shared" si="30"/>
        <v>317.7463110815545</v>
      </c>
      <c r="E153" s="23">
        <f t="shared" si="31"/>
        <v>-4988179768.426328</v>
      </c>
      <c r="F153" s="23">
        <f t="shared" si="36"/>
        <v>31176799.797568142</v>
      </c>
      <c r="G153" s="73">
        <f t="shared" si="37"/>
        <v>311.7679979756814</v>
      </c>
      <c r="H153" s="24">
        <f t="shared" si="32"/>
        <v>0.7679979756814241</v>
      </c>
      <c r="I153" s="24">
        <f t="shared" si="38"/>
        <v>1.2320020243186036</v>
      </c>
      <c r="J153" s="74">
        <f t="shared" si="33"/>
        <v>0.005241654952371905</v>
      </c>
      <c r="K153" s="24">
        <f t="shared" si="39"/>
        <v>2.0000000000000275</v>
      </c>
      <c r="L153" s="23">
        <f t="shared" si="40"/>
        <v>0.005241654952371833</v>
      </c>
      <c r="M153">
        <f t="shared" si="34"/>
        <v>0.01048330990474381</v>
      </c>
    </row>
    <row r="154" spans="1:13" ht="12.75">
      <c r="A154" s="23">
        <f t="shared" si="43"/>
        <v>31200000</v>
      </c>
      <c r="B154" s="82">
        <f t="shared" si="35"/>
        <v>312</v>
      </c>
      <c r="C154" s="23">
        <f t="shared" si="29"/>
        <v>-5.05984522494496E-06</v>
      </c>
      <c r="D154" s="23">
        <f t="shared" si="30"/>
        <v>317.7463110815545</v>
      </c>
      <c r="E154" s="23">
        <f t="shared" si="31"/>
        <v>-4988279768.426328</v>
      </c>
      <c r="F154" s="23">
        <f t="shared" si="36"/>
        <v>31226979.247804966</v>
      </c>
      <c r="G154" s="73">
        <f t="shared" si="37"/>
        <v>312.2697924780497</v>
      </c>
      <c r="H154" s="24">
        <f t="shared" si="32"/>
        <v>0.2697924780496582</v>
      </c>
      <c r="I154" s="24">
        <f t="shared" si="38"/>
        <v>0.7302075219503195</v>
      </c>
      <c r="J154" s="74">
        <f t="shared" si="33"/>
        <v>0.0031067285589950434</v>
      </c>
      <c r="K154" s="24">
        <f t="shared" si="39"/>
        <v>0.9999999999999777</v>
      </c>
      <c r="L154" s="23">
        <f t="shared" si="40"/>
        <v>0.006213457117990226</v>
      </c>
      <c r="M154">
        <f t="shared" si="34"/>
        <v>0.006213457117990087</v>
      </c>
    </row>
    <row r="155" spans="1:13" ht="12.75">
      <c r="A155" s="23">
        <f t="shared" si="43"/>
        <v>31300000</v>
      </c>
      <c r="B155" s="82">
        <f t="shared" si="35"/>
        <v>313</v>
      </c>
      <c r="C155" s="23">
        <f t="shared" si="29"/>
        <v>-5.05984522494496E-06</v>
      </c>
      <c r="D155" s="23">
        <f t="shared" si="30"/>
        <v>317.7463110815545</v>
      </c>
      <c r="E155" s="23">
        <f t="shared" si="31"/>
        <v>-4988379768.426328</v>
      </c>
      <c r="F155" s="23">
        <f t="shared" si="36"/>
        <v>31300000</v>
      </c>
      <c r="G155" s="23">
        <f>F155/10^5</f>
        <v>313</v>
      </c>
      <c r="H155" s="24">
        <f t="shared" si="32"/>
        <v>0</v>
      </c>
      <c r="I155" s="24">
        <f>$B$4/10^5-G155</f>
        <v>0</v>
      </c>
      <c r="J155" s="74">
        <f t="shared" si="33"/>
        <v>0</v>
      </c>
      <c r="K155" s="24">
        <f t="shared" si="39"/>
        <v>0</v>
      </c>
      <c r="L155" s="23" t="e">
        <f t="shared" si="40"/>
        <v>#DIV/0!</v>
      </c>
      <c r="M155">
        <f t="shared" si="34"/>
        <v>0</v>
      </c>
    </row>
    <row r="156" spans="1:12" ht="12.75">
      <c r="A156" s="23"/>
      <c r="B156" s="82"/>
      <c r="C156" s="23"/>
      <c r="D156" s="23"/>
      <c r="E156" s="23"/>
      <c r="F156" s="23"/>
      <c r="G156" s="23"/>
      <c r="H156" s="24"/>
      <c r="I156" s="24"/>
      <c r="J156" s="74"/>
      <c r="K156" s="24"/>
      <c r="L156" s="23"/>
    </row>
    <row r="157" spans="1:12" ht="12.75">
      <c r="A157" s="23"/>
      <c r="B157" s="82"/>
      <c r="C157" s="23"/>
      <c r="D157" s="23"/>
      <c r="E157" s="23"/>
      <c r="F157" s="23"/>
      <c r="G157" s="23"/>
      <c r="H157" s="24"/>
      <c r="I157" s="24"/>
      <c r="J157" s="74"/>
      <c r="K157" s="24"/>
      <c r="L157" s="23"/>
    </row>
    <row r="158" spans="1:12" ht="12.75">
      <c r="A158" s="23"/>
      <c r="B158" s="82"/>
      <c r="C158" s="23"/>
      <c r="D158" s="23"/>
      <c r="E158" s="23"/>
      <c r="F158" s="23"/>
      <c r="G158" s="23"/>
      <c r="H158" s="24"/>
      <c r="I158" s="24"/>
      <c r="J158" s="74"/>
      <c r="K158" s="24"/>
      <c r="L158" s="23"/>
    </row>
    <row r="159" spans="1:12" ht="12.75">
      <c r="A159" s="23"/>
      <c r="B159" s="82"/>
      <c r="C159" s="23"/>
      <c r="D159" s="23"/>
      <c r="E159" s="23"/>
      <c r="F159" s="23"/>
      <c r="G159" s="23"/>
      <c r="H159" s="24"/>
      <c r="I159" s="24"/>
      <c r="J159" s="74"/>
      <c r="K159" s="24"/>
      <c r="L159" s="23"/>
    </row>
    <row r="160" spans="2:3" ht="12.75">
      <c r="B160" s="12"/>
      <c r="C160" s="23"/>
    </row>
    <row r="161" ht="12.75">
      <c r="C161" s="23"/>
    </row>
    <row r="162" ht="12.75">
      <c r="C162" s="23"/>
    </row>
    <row r="163" ht="12.75">
      <c r="C163" s="23"/>
    </row>
    <row r="164" spans="1:5" ht="26.25">
      <c r="A164" s="30" t="s">
        <v>104</v>
      </c>
      <c r="B164" s="23"/>
      <c r="E164" s="30"/>
    </row>
    <row r="165" ht="13.5" thickBot="1">
      <c r="B165" s="23"/>
    </row>
    <row r="166" spans="1:16" ht="12.75">
      <c r="A166" s="41" t="s">
        <v>77</v>
      </c>
      <c r="B166" s="42" t="s">
        <v>85</v>
      </c>
      <c r="C166" s="29" t="s">
        <v>102</v>
      </c>
      <c r="D166" s="29" t="s">
        <v>94</v>
      </c>
      <c r="E166" s="29" t="s">
        <v>119</v>
      </c>
      <c r="F166" s="78" t="s">
        <v>133</v>
      </c>
      <c r="G166" s="41"/>
      <c r="H166" s="29" t="s">
        <v>127</v>
      </c>
      <c r="I166" s="42"/>
      <c r="J166" s="68" t="s">
        <v>131</v>
      </c>
      <c r="K166" s="29" t="s">
        <v>26</v>
      </c>
      <c r="L166" s="29" t="s">
        <v>132</v>
      </c>
      <c r="M166" s="29" t="s">
        <v>26</v>
      </c>
      <c r="N166" s="75" t="s">
        <v>26</v>
      </c>
      <c r="O166" s="75" t="s">
        <v>57</v>
      </c>
      <c r="P166" s="83" t="s">
        <v>50</v>
      </c>
    </row>
    <row r="167" spans="1:16" ht="13.5" thickBot="1">
      <c r="A167" s="43"/>
      <c r="B167" s="44"/>
      <c r="C167" s="13" t="s">
        <v>80</v>
      </c>
      <c r="D167" s="13" t="s">
        <v>80</v>
      </c>
      <c r="E167" s="13" t="s">
        <v>87</v>
      </c>
      <c r="F167" s="54" t="s">
        <v>87</v>
      </c>
      <c r="G167" s="38" t="s">
        <v>91</v>
      </c>
      <c r="H167" s="35" t="s">
        <v>92</v>
      </c>
      <c r="I167" s="39" t="s">
        <v>93</v>
      </c>
      <c r="J167" s="69" t="s">
        <v>80</v>
      </c>
      <c r="K167" s="13" t="s">
        <v>71</v>
      </c>
      <c r="L167" s="67" t="s">
        <v>71</v>
      </c>
      <c r="M167" s="13" t="s">
        <v>134</v>
      </c>
      <c r="N167" s="67" t="s">
        <v>151</v>
      </c>
      <c r="O167" s="67" t="s">
        <v>126</v>
      </c>
      <c r="P167" s="54" t="s">
        <v>152</v>
      </c>
    </row>
    <row r="168" spans="1:16" ht="12.75">
      <c r="A168" s="23">
        <f>Formasjon!$B$20*('Skogs teorem'!K168/(PI()*$B$20^2/4))*$B$20/Formasjon!$B$19</f>
        <v>9472101.31166236</v>
      </c>
      <c r="B168">
        <f aca="true" t="shared" si="44" ref="B168:B200">IF(A168&gt;2300,fturb(A168),flam(A168))</f>
        <v>0.003044299495867223</v>
      </c>
      <c r="C168">
        <f>(B168*$B$21/$B$20*(K168/(PI()/4*$B$20^2))^2*Formasjon!$B$20/2)/10^5</f>
        <v>1176.7219118776864</v>
      </c>
      <c r="D168">
        <f>C168+Formasjon!$B$28</f>
        <v>1399.1755118776864</v>
      </c>
      <c r="E168" s="23">
        <f>A30/10^5</f>
        <v>0</v>
      </c>
      <c r="F168" s="23">
        <f>E168-Formasjon!$B$28</f>
        <v>-222.4536</v>
      </c>
      <c r="G168" s="62">
        <f aca="true" t="shared" si="45" ref="G168:G201">H30</f>
        <v>288.44015576671137</v>
      </c>
      <c r="H168" s="63">
        <f aca="true" t="shared" si="46" ref="H168:H201">H76</f>
        <v>288.4516570695165</v>
      </c>
      <c r="I168" s="64">
        <f aca="true" t="shared" si="47" ref="I168:I201">H122</f>
        <v>289.09695957891034</v>
      </c>
      <c r="J168" s="24">
        <f aca="true" t="shared" si="48" ref="J168:J201">H168+I76</f>
        <v>313</v>
      </c>
      <c r="K168" s="80">
        <f aca="true" t="shared" si="49" ref="K168:K201">M122+M76+M30</f>
        <v>0.8128895864860173</v>
      </c>
      <c r="L168" s="23">
        <f>IF((PI()^2/8*F168*10^5*$B$20^5/($B$21*0.003*690))&lt;0,0,SQRT(PI()^2/8*F168*10^5*$B$20^5/($B$21*0.003*690)))</f>
        <v>0</v>
      </c>
      <c r="M168" s="23">
        <f>K168*3600*24</f>
        <v>70233.66027239189</v>
      </c>
      <c r="N168">
        <f>M168/1.332</f>
        <v>52727.97317747139</v>
      </c>
      <c r="O168" s="23" t="str">
        <f>IF(L168&gt;K168,"OK","NOT OK")</f>
        <v>NOT OK</v>
      </c>
      <c r="P168">
        <f>N168/J168</f>
        <v>168.459978202784</v>
      </c>
    </row>
    <row r="169" spans="1:16" ht="12.75">
      <c r="A169" s="23">
        <f>Formasjon!$B$20*('Skogs teorem'!K169/(PI()*$B$20^2/4))*$B$20/Formasjon!$B$19</f>
        <v>5540183.9272997</v>
      </c>
      <c r="B169">
        <f t="shared" si="44"/>
        <v>0.003051645503498737</v>
      </c>
      <c r="C169">
        <f>(B169*$B$21/$B$20*(K169/(PI()/4*$B$20^2))^2*Formasjon!$B$20/2)/10^5</f>
        <v>403.5303869649174</v>
      </c>
      <c r="D169">
        <f>C169+Formasjon!$B$28</f>
        <v>625.9839869649174</v>
      </c>
      <c r="E169" s="23">
        <f aca="true" t="shared" si="50" ref="E169:E201">A31/10^5</f>
        <v>200</v>
      </c>
      <c r="F169" s="23">
        <f>E169-Formasjon!$B$28</f>
        <v>-22.453599999999994</v>
      </c>
      <c r="G169" s="59">
        <f t="shared" si="45"/>
        <v>98.63784729360663</v>
      </c>
      <c r="H169" s="49">
        <f t="shared" si="46"/>
        <v>98.64438362346988</v>
      </c>
      <c r="I169" s="65">
        <f t="shared" si="47"/>
        <v>99.01140804347277</v>
      </c>
      <c r="J169" s="24">
        <f t="shared" si="48"/>
        <v>113</v>
      </c>
      <c r="K169" s="80">
        <f t="shared" si="49"/>
        <v>0.4754549886596129</v>
      </c>
      <c r="L169" s="23">
        <f aca="true" t="shared" si="51" ref="L169:L201">IF((PI()^2/8*F169*10^5*$B$20^5/($B$21*0.003*690))&lt;0,0,SQRT(PI()^2/8*F169*10^5*$B$20^5/($B$21*0.003*690)))</f>
        <v>0</v>
      </c>
      <c r="M169" s="23">
        <f>K169*3600*24</f>
        <v>41079.31102019055</v>
      </c>
      <c r="N169">
        <f aca="true" t="shared" si="52" ref="N169:N201">M169/1.332</f>
        <v>30840.323588731644</v>
      </c>
      <c r="O169" s="23" t="str">
        <f>IF(L169&gt;K169,"OK","NOT OK")</f>
        <v>NOT OK</v>
      </c>
      <c r="P169">
        <f aca="true" t="shared" si="53" ref="P169:P201">N169/J169</f>
        <v>272.92321759939506</v>
      </c>
    </row>
    <row r="170" spans="1:16" ht="12.75">
      <c r="A170" s="23">
        <f>Formasjon!$B$20*('Skogs teorem'!K170/(PI()*$B$20^2/4))*$B$20/Formasjon!$B$19</f>
        <v>5272494.4030382335</v>
      </c>
      <c r="B170">
        <f t="shared" si="44"/>
        <v>0.0030525397113404943</v>
      </c>
      <c r="C170">
        <f>(B170*$B$21/$B$20*(K170/(PI()/4*$B$20^2))^2*Formasjon!$B$20/2)/10^5</f>
        <v>365.5841622380012</v>
      </c>
      <c r="D170">
        <f>C170+Formasjon!$B$28</f>
        <v>588.0377622380013</v>
      </c>
      <c r="E170" s="23">
        <f t="shared" si="50"/>
        <v>210</v>
      </c>
      <c r="F170" s="23">
        <f>E170-Formasjon!$B$28</f>
        <v>-12.453599999999994</v>
      </c>
      <c r="G170" s="59">
        <f t="shared" si="45"/>
        <v>89.33210799952143</v>
      </c>
      <c r="H170" s="49">
        <f t="shared" si="46"/>
        <v>89.33830700794331</v>
      </c>
      <c r="I170" s="65">
        <f t="shared" si="47"/>
        <v>89.68642354268196</v>
      </c>
      <c r="J170" s="24">
        <f t="shared" si="48"/>
        <v>102.99999999999997</v>
      </c>
      <c r="K170" s="80">
        <f t="shared" si="49"/>
        <v>0.45248204743741305</v>
      </c>
      <c r="L170" s="23">
        <f t="shared" si="51"/>
        <v>0</v>
      </c>
      <c r="M170" s="23">
        <f aca="true" t="shared" si="54" ref="M170:M200">K170*3600*24</f>
        <v>39094.44889859249</v>
      </c>
      <c r="N170">
        <f t="shared" si="52"/>
        <v>29350.18686080517</v>
      </c>
      <c r="O170" s="23" t="str">
        <f>IF(L170&gt;K170,"OK","NOT OK")</f>
        <v>NOT OK</v>
      </c>
      <c r="P170">
        <f t="shared" si="53"/>
        <v>284.95327049325414</v>
      </c>
    </row>
    <row r="171" spans="1:16" ht="12.75">
      <c r="A171" s="23">
        <f>Formasjon!$B$20*('Skogs teorem'!K171/(PI()*$B$20^2/4))*$B$20/Formasjon!$B$19</f>
        <v>4991531.084815913</v>
      </c>
      <c r="B171">
        <f t="shared" si="44"/>
        <v>0.0030535802581242665</v>
      </c>
      <c r="C171">
        <f>(B171*$B$21/$B$20*(K171/(PI()/4*$B$20^2))^2*Formasjon!$B$20/2)/10^5</f>
        <v>327.77112745017246</v>
      </c>
      <c r="D171">
        <f>C171+Formasjon!$B$28</f>
        <v>550.2247274501724</v>
      </c>
      <c r="E171" s="23">
        <f t="shared" si="50"/>
        <v>220</v>
      </c>
      <c r="F171" s="23">
        <f>E171-Formasjon!$B$28</f>
        <v>-2.4535999999999945</v>
      </c>
      <c r="G171" s="59">
        <f t="shared" si="45"/>
        <v>80.06079216355197</v>
      </c>
      <c r="H171" s="49">
        <f t="shared" si="46"/>
        <v>80.06663729959924</v>
      </c>
      <c r="I171" s="65">
        <f t="shared" si="47"/>
        <v>80.39491781647176</v>
      </c>
      <c r="J171" s="24">
        <f t="shared" si="48"/>
        <v>93.00000000000001</v>
      </c>
      <c r="K171" s="80">
        <f t="shared" si="49"/>
        <v>0.4283699578331477</v>
      </c>
      <c r="L171" s="23">
        <f t="shared" si="51"/>
        <v>0</v>
      </c>
      <c r="M171" s="23">
        <f t="shared" si="54"/>
        <v>37011.164356783964</v>
      </c>
      <c r="N171">
        <f t="shared" si="52"/>
        <v>27786.159427014987</v>
      </c>
      <c r="O171" s="23" t="str">
        <f>IF(L171&gt;K171,"OK","NOT OK")</f>
        <v>NOT OK</v>
      </c>
      <c r="P171">
        <f t="shared" si="53"/>
        <v>298.7759078173654</v>
      </c>
    </row>
    <row r="172" spans="1:16" ht="12.75">
      <c r="A172" s="23">
        <f>Formasjon!$B$20*('Skogs teorem'!K172/(PI()*$B$20^2/4))*$B$20/Formasjon!$B$19</f>
        <v>4695098.65551879</v>
      </c>
      <c r="B172">
        <f t="shared" si="44"/>
        <v>0.0030548114885927823</v>
      </c>
      <c r="C172">
        <f>(B172*$B$21/$B$20*(K172/(PI()/4*$B$20^2))^2*Formasjon!$B$20/2)/10^5</f>
        <v>290.1133109879653</v>
      </c>
      <c r="D172">
        <f>C172+Formasjon!$B$28</f>
        <v>512.5669109879652</v>
      </c>
      <c r="E172" s="23">
        <f t="shared" si="50"/>
        <v>230</v>
      </c>
      <c r="F172" s="23">
        <f>E172-Formasjon!$B$28</f>
        <v>7.5464000000000055</v>
      </c>
      <c r="G172" s="59">
        <f t="shared" si="45"/>
        <v>70.82959252489586</v>
      </c>
      <c r="H172" s="49">
        <f t="shared" si="46"/>
        <v>70.83506453266584</v>
      </c>
      <c r="I172" s="65">
        <f t="shared" si="47"/>
        <v>71.1424291370872</v>
      </c>
      <c r="J172" s="24">
        <f t="shared" si="48"/>
        <v>82.99999999999999</v>
      </c>
      <c r="K172" s="80">
        <f t="shared" si="49"/>
        <v>0.40293031915701805</v>
      </c>
      <c r="L172" s="23">
        <f t="shared" si="51"/>
        <v>0.06557640601471429</v>
      </c>
      <c r="M172" s="23">
        <f t="shared" si="54"/>
        <v>34813.17957516636</v>
      </c>
      <c r="N172">
        <f t="shared" si="52"/>
        <v>26136.020702076847</v>
      </c>
      <c r="O172" s="23" t="str">
        <f>IF(L172&gt;K172,"OK","NOT OK")</f>
        <v>NOT OK</v>
      </c>
      <c r="P172">
        <f t="shared" si="53"/>
        <v>314.89181568767293</v>
      </c>
    </row>
    <row r="173" spans="1:16" ht="12.75">
      <c r="A173" s="23">
        <f>Formasjon!$B$20*('Skogs teorem'!K173/(PI()*$B$20^2/4))*$B$20/Formasjon!$B$19</f>
        <v>4380320.374909128</v>
      </c>
      <c r="B173">
        <f t="shared" si="44"/>
        <v>0.0030562990158284962</v>
      </c>
      <c r="C173">
        <f>(B173*$B$21/$B$20*(K173/(PI()/4*$B$20^2))^2*Formasjon!$B$20/2)/10^5</f>
        <v>252.639578985302</v>
      </c>
      <c r="D173">
        <f>C173+Formasjon!$B$28</f>
        <v>475.09317898530196</v>
      </c>
      <c r="E173" s="23">
        <f>A35/10^5</f>
        <v>240</v>
      </c>
      <c r="F173" s="23">
        <f>E173-Formasjon!$B$28</f>
        <v>17.546400000000006</v>
      </c>
      <c r="G173" s="59">
        <f t="shared" si="45"/>
        <v>61.645968677886465</v>
      </c>
      <c r="H173" s="49">
        <f t="shared" si="46"/>
        <v>61.6510447682134</v>
      </c>
      <c r="I173" s="65">
        <f t="shared" si="47"/>
        <v>61.93621530616146</v>
      </c>
      <c r="J173" s="24">
        <f t="shared" si="48"/>
        <v>73</v>
      </c>
      <c r="K173" s="80">
        <f t="shared" si="49"/>
        <v>0.37591625142903473</v>
      </c>
      <c r="L173" s="23">
        <f t="shared" si="51"/>
        <v>0.09999348691342451</v>
      </c>
      <c r="M173" s="23">
        <f t="shared" si="54"/>
        <v>32479.164123468603</v>
      </c>
      <c r="N173">
        <f t="shared" si="52"/>
        <v>24383.756849450903</v>
      </c>
      <c r="O173" s="23" t="str">
        <f>IF(L173&gt;K173,"OK","NOT OK")</f>
        <v>NOT OK</v>
      </c>
      <c r="P173">
        <f t="shared" si="53"/>
        <v>334.0240664308343</v>
      </c>
    </row>
    <row r="174" spans="1:16" ht="12.75">
      <c r="A174" s="23">
        <f>Formasjon!$B$20*('Skogs teorem'!K174/(PI()*$B$20^2/4))*$B$20/Formasjon!$B$19</f>
        <v>4043299.1381672327</v>
      </c>
      <c r="B174">
        <f t="shared" si="44"/>
        <v>0.0030581448453128003</v>
      </c>
      <c r="C174">
        <f>(B174*$B$21/$B$20*(K174/(PI()/4*$B$20^2))^2*Formasjon!$B$20/2)/10^5</f>
        <v>215.3890365362936</v>
      </c>
      <c r="D174">
        <f>C174+Formasjon!$B$28</f>
        <v>437.8426365362936</v>
      </c>
      <c r="E174" s="23">
        <f>A36/10^5</f>
        <v>250</v>
      </c>
      <c r="F174" s="23">
        <f>E174-Formasjon!$B$28</f>
        <v>27.546400000000006</v>
      </c>
      <c r="G174" s="59">
        <f t="shared" si="45"/>
        <v>52.52002581709429</v>
      </c>
      <c r="H174" s="49">
        <f t="shared" si="46"/>
        <v>52.52467843372151</v>
      </c>
      <c r="I174" s="65">
        <f t="shared" si="47"/>
        <v>52.78610921413634</v>
      </c>
      <c r="J174" s="24">
        <f t="shared" si="48"/>
        <v>62.99999999999998</v>
      </c>
      <c r="K174" s="80">
        <f t="shared" si="49"/>
        <v>0.346993307643075</v>
      </c>
      <c r="L174" s="23">
        <f t="shared" si="51"/>
        <v>0.12528818709041864</v>
      </c>
      <c r="M174" s="23">
        <f t="shared" si="54"/>
        <v>29980.22178036168</v>
      </c>
      <c r="N174">
        <f t="shared" si="52"/>
        <v>22507.67400928054</v>
      </c>
      <c r="O174" s="23" t="str">
        <f>IF(L174&gt;K174,"OK","NOT OK")</f>
        <v>NOT OK</v>
      </c>
      <c r="P174">
        <f t="shared" si="53"/>
        <v>357.264666813977</v>
      </c>
    </row>
    <row r="175" spans="1:16" ht="12.75">
      <c r="A175" s="23">
        <f>Formasjon!$B$20*('Skogs teorem'!K175/(PI()*$B$20^2/4))*$B$20/Formasjon!$B$19</f>
        <v>3678525.009839855</v>
      </c>
      <c r="B175">
        <f t="shared" si="44"/>
        <v>0.0030605180495903357</v>
      </c>
      <c r="C175">
        <f>(B175*$B$21/$B$20*(K175/(PI()/4*$B$20^2))^2*Formasjon!$B$20/2)/10^5</f>
        <v>178.41697307261433</v>
      </c>
      <c r="D175">
        <f>C175+Formasjon!$B$28</f>
        <v>400.8705730726143</v>
      </c>
      <c r="E175" s="23">
        <f t="shared" si="50"/>
        <v>260</v>
      </c>
      <c r="F175" s="23">
        <f>E175-Formasjon!$B$28</f>
        <v>37.546400000000006</v>
      </c>
      <c r="G175" s="59">
        <f t="shared" si="45"/>
        <v>43.46605069292679</v>
      </c>
      <c r="H175" s="49">
        <f t="shared" si="46"/>
        <v>43.47024557548568</v>
      </c>
      <c r="I175" s="65">
        <f t="shared" si="47"/>
        <v>43.70601457855653</v>
      </c>
      <c r="J175" s="24">
        <f t="shared" si="48"/>
        <v>53.00000000000003</v>
      </c>
      <c r="K175" s="80">
        <f t="shared" si="49"/>
        <v>0.315688628714889</v>
      </c>
      <c r="L175" s="23">
        <f t="shared" si="51"/>
        <v>0.14627221958971665</v>
      </c>
      <c r="M175" s="23">
        <f t="shared" si="54"/>
        <v>27275.49752096641</v>
      </c>
      <c r="N175">
        <f t="shared" si="52"/>
        <v>20477.100240965774</v>
      </c>
      <c r="O175" s="23" t="str">
        <f>IF(L175&gt;K175,"OK","NOT OK")</f>
        <v>NOT OK</v>
      </c>
      <c r="P175">
        <f t="shared" si="53"/>
        <v>386.3603819050144</v>
      </c>
    </row>
    <row r="176" spans="1:16" ht="12.75">
      <c r="A176" s="23">
        <f>Formasjon!$B$20*('Skogs teorem'!K176/(PI()*$B$20^2/4))*$B$20/Formasjon!$B$19</f>
        <v>3277749.899045635</v>
      </c>
      <c r="B176">
        <f t="shared" si="44"/>
        <v>0.0030637241575337247</v>
      </c>
      <c r="C176">
        <f>(B176*$B$21/$B$20*(K176/(PI()/4*$B$20^2))^2*Formasjon!$B$20/2)/10^5</f>
        <v>141.80615520393667</v>
      </c>
      <c r="D176">
        <f>C176+Formasjon!$B$28</f>
        <v>364.25975520393666</v>
      </c>
      <c r="E176" s="23">
        <f t="shared" si="50"/>
        <v>270</v>
      </c>
      <c r="F176" s="23">
        <f>E176-Formasjon!$B$28</f>
        <v>47.546400000000006</v>
      </c>
      <c r="G176" s="59">
        <f t="shared" si="45"/>
        <v>34.50542878550053</v>
      </c>
      <c r="H176" s="49">
        <f t="shared" si="46"/>
        <v>34.50912171122696</v>
      </c>
      <c r="I176" s="65">
        <f t="shared" si="47"/>
        <v>34.71674751859147</v>
      </c>
      <c r="J176" s="24">
        <f t="shared" si="48"/>
        <v>43.00000000000001</v>
      </c>
      <c r="K176" s="80">
        <f t="shared" si="49"/>
        <v>0.2812943688386478</v>
      </c>
      <c r="L176" s="23">
        <f t="shared" si="51"/>
        <v>0.16460253528728172</v>
      </c>
      <c r="M176" s="23">
        <f t="shared" si="54"/>
        <v>24303.83346765917</v>
      </c>
      <c r="N176">
        <f t="shared" si="52"/>
        <v>18246.121221966343</v>
      </c>
      <c r="O176" s="23" t="str">
        <f>IF(L176&gt;K176,"OK","NOT OK")</f>
        <v>NOT OK</v>
      </c>
      <c r="P176">
        <f t="shared" si="53"/>
        <v>424.32840051084514</v>
      </c>
    </row>
    <row r="177" spans="1:16" ht="12.75">
      <c r="A177" s="23">
        <f>Formasjon!$B$20*('Skogs teorem'!K177/(PI()*$B$20^2/4))*$B$20/Formasjon!$B$19</f>
        <v>2827591.748067776</v>
      </c>
      <c r="B177">
        <f t="shared" si="44"/>
        <v>0.0030683879283242427</v>
      </c>
      <c r="C177">
        <f>(B177*$B$21/$B$20*(K177/(PI()/4*$B$20^2))^2*Formasjon!$B$20/2)/10^5</f>
        <v>105.69086988432377</v>
      </c>
      <c r="D177">
        <f>C177+Formasjon!$B$28</f>
        <v>328.14446988432377</v>
      </c>
      <c r="E177" s="23">
        <f t="shared" si="50"/>
        <v>280</v>
      </c>
      <c r="F177" s="23">
        <f>E177-Formasjon!$B$28</f>
        <v>57.546400000000006</v>
      </c>
      <c r="G177" s="59">
        <f t="shared" si="45"/>
        <v>25.672854332268425</v>
      </c>
      <c r="H177" s="49">
        <f t="shared" si="46"/>
        <v>25.675985088056475</v>
      </c>
      <c r="I177" s="65">
        <f t="shared" si="47"/>
        <v>25.852088008370398</v>
      </c>
      <c r="J177" s="24">
        <f t="shared" si="48"/>
        <v>33.00000000000003</v>
      </c>
      <c r="K177" s="80">
        <f t="shared" si="49"/>
        <v>0.2426620885070218</v>
      </c>
      <c r="L177" s="23">
        <f t="shared" si="51"/>
        <v>0.1810867941687062</v>
      </c>
      <c r="M177" s="23">
        <f t="shared" si="54"/>
        <v>20966.004447006686</v>
      </c>
      <c r="N177">
        <f t="shared" si="52"/>
        <v>15740.243578833848</v>
      </c>
      <c r="O177" s="23" t="str">
        <f>IF(L177&gt;K177,"OK","NOT OK")</f>
        <v>NOT OK</v>
      </c>
      <c r="P177">
        <f t="shared" si="53"/>
        <v>476.9770781464798</v>
      </c>
    </row>
    <row r="178" spans="1:16" ht="12.75">
      <c r="A178" s="23">
        <f>Formasjon!$B$20*('Skogs teorem'!K178/(PI()*$B$20^2/4))*$B$20/Formasjon!$B$19</f>
        <v>2303496.2050449727</v>
      </c>
      <c r="B178">
        <f t="shared" si="44"/>
        <v>0.003076059837271368</v>
      </c>
      <c r="C178">
        <f>(B178*$B$21/$B$20*(K178/(PI()/4*$B$20^2))^2*Formasjon!$B$20/2)/10^5</f>
        <v>70.31752517042243</v>
      </c>
      <c r="D178">
        <f>C178+Formasjon!$B$28</f>
        <v>292.7711251704224</v>
      </c>
      <c r="E178" s="23">
        <f t="shared" si="50"/>
        <v>290</v>
      </c>
      <c r="F178" s="23">
        <f>E178-Formasjon!$B$28</f>
        <v>67.5464</v>
      </c>
      <c r="G178" s="59">
        <f t="shared" si="45"/>
        <v>17.031979454140476</v>
      </c>
      <c r="H178" s="49">
        <f t="shared" si="46"/>
        <v>17.03445899705589</v>
      </c>
      <c r="I178" s="65">
        <f t="shared" si="47"/>
        <v>17.17403862026602</v>
      </c>
      <c r="J178" s="24">
        <f t="shared" si="48"/>
        <v>23.00000000000001</v>
      </c>
      <c r="K178" s="80">
        <f t="shared" si="49"/>
        <v>0.19768454918082956</v>
      </c>
      <c r="L178" s="23">
        <f t="shared" si="51"/>
        <v>0.19619087497026438</v>
      </c>
      <c r="M178" s="23">
        <f t="shared" si="54"/>
        <v>17079.945049223676</v>
      </c>
      <c r="N178">
        <f t="shared" si="52"/>
        <v>12822.781568486242</v>
      </c>
      <c r="O178" s="23" t="str">
        <f>IF(L178&gt;K178,"OK","NOT OK")</f>
        <v>NOT OK</v>
      </c>
      <c r="P178">
        <f t="shared" si="53"/>
        <v>557.5122421080972</v>
      </c>
    </row>
    <row r="179" spans="1:16" ht="12.75">
      <c r="A179" s="23">
        <f>Formasjon!$B$20*('Skogs teorem'!K179/(PI()*$B$20^2/4))*$B$20/Formasjon!$B$19</f>
        <v>2245382.5935733025</v>
      </c>
      <c r="B179">
        <f t="shared" si="44"/>
        <v>0.0030771257749446033</v>
      </c>
      <c r="C179">
        <f>(B179*$B$21/$B$20*(K179/(PI()/4*$B$20^2))^2*Formasjon!$B$20/2)/10^5</f>
        <v>66.83743073681964</v>
      </c>
      <c r="D179">
        <f>C179+Formasjon!$B$28</f>
        <v>289.2910307368196</v>
      </c>
      <c r="E179" s="23">
        <f t="shared" si="50"/>
        <v>291</v>
      </c>
      <c r="F179" s="23">
        <f>E179-Formasjon!$B$28</f>
        <v>68.5464</v>
      </c>
      <c r="G179" s="59">
        <f t="shared" si="45"/>
        <v>16.182679814655856</v>
      </c>
      <c r="H179" s="49">
        <f t="shared" si="46"/>
        <v>16.185087451954708</v>
      </c>
      <c r="I179" s="65">
        <f t="shared" si="47"/>
        <v>16.32063356129989</v>
      </c>
      <c r="J179" s="24">
        <f>H179+I87</f>
        <v>22.000000000000007</v>
      </c>
      <c r="K179" s="103">
        <f t="shared" si="49"/>
        <v>0.19269727676428017</v>
      </c>
      <c r="L179" s="23">
        <f t="shared" si="51"/>
        <v>0.19763780676158033</v>
      </c>
      <c r="M179" s="23">
        <f t="shared" si="54"/>
        <v>16649.044712433806</v>
      </c>
      <c r="N179">
        <f t="shared" si="52"/>
        <v>12499.282817142497</v>
      </c>
      <c r="O179" s="23" t="str">
        <f>IF(L179&gt;K179,"OK","NOT OK")</f>
        <v>OK</v>
      </c>
      <c r="P179">
        <f>N179/J179</f>
        <v>568.1492189610224</v>
      </c>
    </row>
    <row r="180" spans="1:16" ht="12.75">
      <c r="A180" s="23">
        <f>Formasjon!$B$20*('Skogs teorem'!K180/(PI()*$B$20^2/4))*$B$20/Formasjon!$B$19</f>
        <v>2185963.4744131933</v>
      </c>
      <c r="B180">
        <f t="shared" si="44"/>
        <v>0.00307827281082157</v>
      </c>
      <c r="C180">
        <f>(B180*$B$21/$B$20*(K180/(PI()/4*$B$20^2))^2*Formasjon!$B$20/2)/10^5</f>
        <v>63.37043730745757</v>
      </c>
      <c r="D180">
        <f>C180+Formasjon!$B$28</f>
        <v>285.82403730745756</v>
      </c>
      <c r="E180" s="23">
        <f t="shared" si="50"/>
        <v>292</v>
      </c>
      <c r="F180" s="23">
        <f>E180-Formasjon!$B$28</f>
        <v>69.5464</v>
      </c>
      <c r="G180" s="59">
        <f t="shared" si="45"/>
        <v>15.336764499089718</v>
      </c>
      <c r="H180" s="49">
        <f t="shared" si="46"/>
        <v>15.339098693538233</v>
      </c>
      <c r="I180" s="65">
        <f t="shared" si="47"/>
        <v>15.470524882389084</v>
      </c>
      <c r="J180" s="24">
        <f t="shared" si="48"/>
        <v>21</v>
      </c>
      <c r="K180" s="80">
        <f t="shared" si="49"/>
        <v>0.1875979665252781</v>
      </c>
      <c r="L180" s="23">
        <f t="shared" si="51"/>
        <v>0.1990742220918058</v>
      </c>
      <c r="M180" s="23">
        <f t="shared" si="54"/>
        <v>16208.464307784026</v>
      </c>
      <c r="N180">
        <f t="shared" si="52"/>
        <v>12168.516747585605</v>
      </c>
      <c r="O180" s="23" t="str">
        <f>IF(L180&gt;K180,"OK","NOT OK")</f>
        <v>OK</v>
      </c>
      <c r="P180">
        <f t="shared" si="53"/>
        <v>579.4531784564574</v>
      </c>
    </row>
    <row r="181" spans="1:16" ht="12.75">
      <c r="A181" s="23">
        <f>Formasjon!$B$20*('Skogs teorem'!K181/(PI()*$B$20^2/4))*$B$20/Formasjon!$B$19</f>
        <v>2125146.699306389</v>
      </c>
      <c r="B181">
        <f t="shared" si="44"/>
        <v>0.003079511565948287</v>
      </c>
      <c r="C181">
        <f>(B181*$B$21/$B$20*(K181/(PI()/4*$B$20^2))^2*Formasjon!$B$20/2)/10^5</f>
        <v>59.91746971171458</v>
      </c>
      <c r="D181">
        <f>C181+Formasjon!$B$28</f>
        <v>282.3710697117146</v>
      </c>
      <c r="E181" s="23">
        <f t="shared" si="50"/>
        <v>293</v>
      </c>
      <c r="F181" s="23">
        <f>E181-Formasjon!$B$28</f>
        <v>70.5464</v>
      </c>
      <c r="G181" s="59">
        <f t="shared" si="45"/>
        <v>14.494472304342613</v>
      </c>
      <c r="H181" s="49">
        <f t="shared" si="46"/>
        <v>14.49673141597204</v>
      </c>
      <c r="I181" s="65">
        <f t="shared" si="47"/>
        <v>14.623945489927754</v>
      </c>
      <c r="J181" s="24">
        <f t="shared" si="48"/>
        <v>20.000000000000018</v>
      </c>
      <c r="K181" s="80">
        <f t="shared" si="49"/>
        <v>0.18237871036011077</v>
      </c>
      <c r="L181" s="23">
        <f t="shared" si="51"/>
        <v>0.20050034698570343</v>
      </c>
      <c r="M181" s="23">
        <f>K181*3600*24</f>
        <v>15757.520575113569</v>
      </c>
      <c r="N181">
        <f t="shared" si="52"/>
        <v>11829.970401736913</v>
      </c>
      <c r="O181" s="23" t="str">
        <f>IF(L181&gt;K181,"OK","NOT OK")</f>
        <v>OK</v>
      </c>
      <c r="P181">
        <f t="shared" si="53"/>
        <v>591.4985200868451</v>
      </c>
    </row>
    <row r="182" spans="1:16" ht="12.75">
      <c r="A182" s="23">
        <f>Formasjon!$B$20*('Skogs teorem'!K182/(PI()*$B$20^2/4))*$B$20/Formasjon!$B$19</f>
        <v>2062828.7408732749</v>
      </c>
      <c r="B182">
        <f t="shared" si="44"/>
        <v>0.0030808546921027146</v>
      </c>
      <c r="C182">
        <f>(B182*$B$21/$B$20*(K182/(PI()/4*$B$20^2))^2*Formasjon!$B$20/2)/10^5</f>
        <v>56.479566998580026</v>
      </c>
      <c r="D182">
        <f>C182+Formasjon!$B$28</f>
        <v>278.93316699858</v>
      </c>
      <c r="E182" s="23">
        <f t="shared" si="50"/>
        <v>294</v>
      </c>
      <c r="F182" s="23">
        <f>E182-Formasjon!$B$28</f>
        <v>71.5464</v>
      </c>
      <c r="G182" s="59">
        <f t="shared" si="45"/>
        <v>13.656071504880526</v>
      </c>
      <c r="H182" s="49">
        <f t="shared" si="46"/>
        <v>13.658253779053279</v>
      </c>
      <c r="I182" s="65">
        <f t="shared" si="47"/>
        <v>13.781157081598565</v>
      </c>
      <c r="J182" s="24">
        <f t="shared" si="48"/>
        <v>19.00000000000001</v>
      </c>
      <c r="K182" s="80">
        <f t="shared" si="49"/>
        <v>0.17703062361625643</v>
      </c>
      <c r="L182" s="23">
        <f t="shared" si="51"/>
        <v>0.20191639948582019</v>
      </c>
      <c r="M182" s="23">
        <f t="shared" si="54"/>
        <v>15295.445880444555</v>
      </c>
      <c r="N182">
        <f t="shared" si="52"/>
        <v>11483.067477811226</v>
      </c>
      <c r="O182" s="23" t="str">
        <f>IF(L182&gt;K182,"OK","NOT OK")</f>
        <v>OK</v>
      </c>
      <c r="P182">
        <f t="shared" si="53"/>
        <v>604.37197251638</v>
      </c>
    </row>
    <row r="183" spans="1:16" ht="12.75">
      <c r="A183" s="23">
        <f>Formasjon!$B$20*('Skogs teorem'!K183/(PI()*$B$20^2/4))*$B$20/Formasjon!$B$19</f>
        <v>1998892.622446655</v>
      </c>
      <c r="B183">
        <f t="shared" si="44"/>
        <v>0.0030823173954348903</v>
      </c>
      <c r="C183">
        <f>(B183*$B$21/$B$20*(K183/(PI()/4*$B$20^2))^2*Formasjon!$B$20/2)/10^5</f>
        <v>53.05790321928917</v>
      </c>
      <c r="D183">
        <f>C183+Formasjon!$B$28</f>
        <v>275.5115032192892</v>
      </c>
      <c r="E183" s="23">
        <f t="shared" si="50"/>
        <v>295</v>
      </c>
      <c r="F183" s="23">
        <f>E183-Formasjon!$B$28</f>
        <v>72.5464</v>
      </c>
      <c r="G183" s="59">
        <f t="shared" si="45"/>
        <v>12.821865213430748</v>
      </c>
      <c r="H183" s="49">
        <f t="shared" si="46"/>
        <v>12.823968766870275</v>
      </c>
      <c r="I183" s="65">
        <f t="shared" si="47"/>
        <v>12.942455390097647</v>
      </c>
      <c r="J183" s="24">
        <f t="shared" si="48"/>
        <v>17.999999999999993</v>
      </c>
      <c r="K183" s="80">
        <f t="shared" si="49"/>
        <v>0.17154366743206262</v>
      </c>
      <c r="L183" s="23">
        <f t="shared" si="51"/>
        <v>0.2033225900416557</v>
      </c>
      <c r="M183" s="23">
        <f t="shared" si="54"/>
        <v>14821.372866130212</v>
      </c>
      <c r="N183">
        <f t="shared" si="52"/>
        <v>11127.156806404062</v>
      </c>
      <c r="O183" s="23" t="str">
        <f>IF(L183&gt;K183,"OK","NOT OK")</f>
        <v>OK</v>
      </c>
      <c r="P183">
        <f t="shared" si="53"/>
        <v>618.1753781335592</v>
      </c>
    </row>
    <row r="184" spans="1:16" ht="12.75">
      <c r="A184" s="23">
        <f>Formasjon!$B$20*('Skogs teorem'!K184/(PI()*$B$20^2/4))*$B$20/Formasjon!$B$19</f>
        <v>1933205.3369442443</v>
      </c>
      <c r="B184">
        <f t="shared" si="44"/>
        <v>0.0030839181340366673</v>
      </c>
      <c r="C184">
        <f>(B184*$B$21/$B$20*(K184/(PI()/4*$B$20^2))^2*Formasjon!$B$20/2)/10^5</f>
        <v>49.65381334068146</v>
      </c>
      <c r="D184">
        <f>C184+Formasjon!$B$28</f>
        <v>272.10741334068143</v>
      </c>
      <c r="E184" s="23">
        <f t="shared" si="50"/>
        <v>296</v>
      </c>
      <c r="F184" s="23">
        <f>E184-Formasjon!$B$28</f>
        <v>73.5464</v>
      </c>
      <c r="G184" s="59">
        <f t="shared" si="45"/>
        <v>11.992198064269237</v>
      </c>
      <c r="H184" s="49">
        <f t="shared" si="46"/>
        <v>11.99422086860016</v>
      </c>
      <c r="I184" s="65">
        <f t="shared" si="47"/>
        <v>12.108176722636818</v>
      </c>
      <c r="J184" s="24">
        <f t="shared" si="48"/>
        <v>16.999999999999993</v>
      </c>
      <c r="K184" s="80">
        <f t="shared" si="49"/>
        <v>0.16590642722605892</v>
      </c>
      <c r="L184" s="23">
        <f t="shared" si="51"/>
        <v>0.20471912187477026</v>
      </c>
      <c r="M184" s="23">
        <f t="shared" si="54"/>
        <v>14334.31531233149</v>
      </c>
      <c r="N184">
        <f t="shared" si="52"/>
        <v>10761.497982230847</v>
      </c>
      <c r="O184" s="23" t="str">
        <f>IF(L184&gt;K184,"OK","NOT OK")</f>
        <v>OK</v>
      </c>
      <c r="P184">
        <f t="shared" si="53"/>
        <v>633.029293072403</v>
      </c>
    </row>
    <row r="185" spans="1:16" ht="12.75">
      <c r="A185" s="23">
        <f>Formasjon!$B$20*('Skogs teorem'!K185/(PI()*$B$20^2/4))*$B$20/Formasjon!$B$19</f>
        <v>1865614.5916170164</v>
      </c>
      <c r="B185">
        <f t="shared" si="44"/>
        <v>0.003085679561719623</v>
      </c>
      <c r="C185">
        <f>(B185*$B$21/$B$20*(K185/(PI()/4*$B$20^2))^2*Formasjon!$B$20/2)/10^5</f>
        <v>46.26882592758253</v>
      </c>
      <c r="D185">
        <f>C185+Formasjon!$B$28</f>
        <v>268.72242592758255</v>
      </c>
      <c r="E185" s="23">
        <f t="shared" si="50"/>
        <v>297</v>
      </c>
      <c r="F185" s="23">
        <f>E185-Formasjon!$B$28</f>
        <v>74.5464</v>
      </c>
      <c r="G185" s="59">
        <f t="shared" si="45"/>
        <v>11.167464641261398</v>
      </c>
      <c r="H185" s="49">
        <f t="shared" si="46"/>
        <v>11.169404503461607</v>
      </c>
      <c r="I185" s="65">
        <f t="shared" si="47"/>
        <v>11.278706210507936</v>
      </c>
      <c r="J185" s="24">
        <f t="shared" si="48"/>
        <v>15.999999999999972</v>
      </c>
      <c r="K185" s="80">
        <f t="shared" si="49"/>
        <v>0.16010583333337286</v>
      </c>
      <c r="L185" s="23">
        <f t="shared" si="51"/>
        <v>0.20610619132162647</v>
      </c>
      <c r="M185" s="23">
        <f t="shared" si="54"/>
        <v>13833.144000003416</v>
      </c>
      <c r="N185">
        <f t="shared" si="52"/>
        <v>10385.243243245808</v>
      </c>
      <c r="O185" s="23" t="str">
        <f>IF(L185&gt;K185,"OK","NOT OK")</f>
        <v>OK</v>
      </c>
      <c r="P185">
        <f t="shared" si="53"/>
        <v>649.0777027028641</v>
      </c>
    </row>
    <row r="186" spans="1:16" ht="12.75">
      <c r="A186" s="23">
        <f>Formasjon!$B$20*('Skogs teorem'!K186/(PI()*$B$20^2/4))*$B$20/Formasjon!$B$19</f>
        <v>1795944.6501228188</v>
      </c>
      <c r="B186">
        <f t="shared" si="44"/>
        <v>0.0030876298271356514</v>
      </c>
      <c r="C186">
        <f>(B186*$B$21/$B$20*(K186/(PI()/4*$B$20^2))^2*Formasjon!$B$20/2)/10^5</f>
        <v>42.90470488994022</v>
      </c>
      <c r="D186">
        <f>C186+Formasjon!$B$28</f>
        <v>265.3583048899402</v>
      </c>
      <c r="E186" s="23">
        <f t="shared" si="50"/>
        <v>298</v>
      </c>
      <c r="F186" s="23">
        <f>E186-Formasjon!$B$28</f>
        <v>75.5464</v>
      </c>
      <c r="G186" s="59">
        <f t="shared" si="45"/>
        <v>10.348120241909324</v>
      </c>
      <c r="H186" s="49">
        <f t="shared" si="46"/>
        <v>10.349974780885503</v>
      </c>
      <c r="I186" s="65">
        <f t="shared" si="47"/>
        <v>10.454488349266462</v>
      </c>
      <c r="J186" s="24">
        <f t="shared" si="48"/>
        <v>15.000000000000028</v>
      </c>
      <c r="K186" s="80">
        <f t="shared" si="49"/>
        <v>0.15412680417518665</v>
      </c>
      <c r="L186" s="23">
        <f t="shared" si="51"/>
        <v>0.20748398815580144</v>
      </c>
      <c r="M186" s="23">
        <f t="shared" si="54"/>
        <v>13316.555880736127</v>
      </c>
      <c r="N186">
        <f t="shared" si="52"/>
        <v>9997.41432487697</v>
      </c>
      <c r="O186" s="23" t="str">
        <f>IF(L186&gt;K186,"OK","NOT OK")</f>
        <v>OK</v>
      </c>
      <c r="P186">
        <f t="shared" si="53"/>
        <v>666.4942883251301</v>
      </c>
    </row>
    <row r="187" spans="1:16" ht="12.75">
      <c r="A187" s="23">
        <f>Formasjon!$B$20*('Skogs teorem'!K187/(PI()*$B$20^2/4))*$B$20/Formasjon!$B$19</f>
        <v>1723990.9457190435</v>
      </c>
      <c r="B187">
        <f t="shared" si="44"/>
        <v>0.0030898043969924877</v>
      </c>
      <c r="C187">
        <f>(B187*$B$21/$B$20*(K187/(PI()/4*$B$20^2))^2*Formasjon!$B$20/2)/10^5</f>
        <v>39.56350357095414</v>
      </c>
      <c r="D187">
        <f>C187+Formasjon!$B$28</f>
        <v>262.01710357095413</v>
      </c>
      <c r="E187" s="23">
        <f t="shared" si="50"/>
        <v>299</v>
      </c>
      <c r="F187" s="23">
        <f>E187-Formasjon!$B$28</f>
        <v>76.5464</v>
      </c>
      <c r="G187" s="59">
        <f t="shared" si="45"/>
        <v>9.534694821184278</v>
      </c>
      <c r="H187" s="49">
        <f t="shared" si="46"/>
        <v>9.536461439431942</v>
      </c>
      <c r="I187" s="65">
        <f t="shared" si="47"/>
        <v>9.636040658433101</v>
      </c>
      <c r="J187" s="24">
        <f t="shared" si="48"/>
        <v>13.999999999999996</v>
      </c>
      <c r="K187" s="80">
        <f t="shared" si="49"/>
        <v>0.14795178396642825</v>
      </c>
      <c r="L187" s="23">
        <f t="shared" si="51"/>
        <v>0.20885269589106722</v>
      </c>
      <c r="M187" s="23">
        <f t="shared" si="54"/>
        <v>12783.034134699401</v>
      </c>
      <c r="N187">
        <f t="shared" si="52"/>
        <v>9596.872473498048</v>
      </c>
      <c r="O187" s="23" t="str">
        <f>IF(L187&gt;K187,"OK","NOT OK")</f>
        <v>OK</v>
      </c>
      <c r="P187">
        <f t="shared" si="53"/>
        <v>685.4908909641465</v>
      </c>
    </row>
    <row r="188" spans="1:16" s="25" customFormat="1" ht="12.75">
      <c r="A188" s="85">
        <f>Formasjon!$B$20*('Skogs teorem'!K188/(PI()*$B$20^2/4))*$B$20/Formasjon!$B$19</f>
        <v>1649512.9901776423</v>
      </c>
      <c r="B188" s="25">
        <f t="shared" si="44"/>
        <v>0.0030922486713748937</v>
      </c>
      <c r="C188" s="25">
        <f>(B188*$B$21/$B$20*(K188/(PI()/4*$B$20^2))^2*Formasjon!$B$20/2)/10^5</f>
        <v>36.24763595203156</v>
      </c>
      <c r="D188" s="25">
        <f>C188+Formasjon!$B$28</f>
        <v>258.70123595203154</v>
      </c>
      <c r="E188" s="85">
        <f t="shared" si="50"/>
        <v>300</v>
      </c>
      <c r="F188" s="85">
        <f>E188-Formasjon!$B$28</f>
        <v>77.5464</v>
      </c>
      <c r="G188" s="95">
        <f t="shared" si="45"/>
        <v>8.727811344595775</v>
      </c>
      <c r="H188" s="96">
        <f t="shared" si="46"/>
        <v>8.7294871935552</v>
      </c>
      <c r="I188" s="97">
        <f t="shared" si="47"/>
        <v>8.823971669358238</v>
      </c>
      <c r="J188" s="87">
        <f t="shared" si="48"/>
        <v>12.999999999999998</v>
      </c>
      <c r="K188" s="80">
        <f t="shared" si="49"/>
        <v>0.1415601341634609</v>
      </c>
      <c r="L188" s="23">
        <f t="shared" si="51"/>
        <v>0.2102124920667096</v>
      </c>
      <c r="M188" s="85">
        <f>K188*3600*24</f>
        <v>12230.795591723021</v>
      </c>
      <c r="N188">
        <f t="shared" si="52"/>
        <v>9182.27897276503</v>
      </c>
      <c r="O188" s="23" t="str">
        <f>IF(L188&gt;K188,"OK","NOT OK")</f>
        <v>OK</v>
      </c>
      <c r="P188">
        <f t="shared" si="53"/>
        <v>706.3291517511562</v>
      </c>
    </row>
    <row r="189" spans="1:16" ht="12.75">
      <c r="A189" s="23">
        <f>Formasjon!$B$20*('Skogs teorem'!K189/(PI()*$B$20^2/4))*$B$20/Formasjon!$B$19</f>
        <v>1572224.8690520187</v>
      </c>
      <c r="B189">
        <f t="shared" si="44"/>
        <v>0.0030950218299184537</v>
      </c>
      <c r="C189">
        <f>(B189*$B$21/$B$20*(K189/(PI()/4*$B$20^2))^2*Formasjon!$B$20/2)/10^5</f>
        <v>32.95997210085708</v>
      </c>
      <c r="D189">
        <f>C189+Formasjon!$B$28</f>
        <v>255.41357210085707</v>
      </c>
      <c r="E189" s="23">
        <f t="shared" si="50"/>
        <v>301</v>
      </c>
      <c r="F189" s="23">
        <f>E189-Formasjon!$B$28</f>
        <v>78.5464</v>
      </c>
      <c r="G189" s="59">
        <f t="shared" si="45"/>
        <v>7.9282103847214955</v>
      </c>
      <c r="H189" s="49">
        <f t="shared" si="46"/>
        <v>7.929792321925908</v>
      </c>
      <c r="I189" s="65">
        <f t="shared" si="47"/>
        <v>8.019005045671985</v>
      </c>
      <c r="J189" s="24">
        <f t="shared" si="48"/>
        <v>12.000000000000007</v>
      </c>
      <c r="K189" s="80">
        <f t="shared" si="49"/>
        <v>0.13492731777405687</v>
      </c>
      <c r="L189" s="23">
        <f t="shared" si="51"/>
        <v>0.21156354851634132</v>
      </c>
      <c r="M189" s="23">
        <f t="shared" si="54"/>
        <v>11657.720255678512</v>
      </c>
      <c r="N189">
        <f t="shared" si="52"/>
        <v>8752.042233992877</v>
      </c>
      <c r="O189" s="23" t="str">
        <f>IF(L189&gt;K189,"OK","NOT OK")</f>
        <v>OK</v>
      </c>
      <c r="P189">
        <f t="shared" si="53"/>
        <v>729.3368528327394</v>
      </c>
    </row>
    <row r="190" spans="1:16" ht="12.75">
      <c r="A190" s="23">
        <f>Formasjon!$B$20*('Skogs teorem'!K190/(PI()*$B$20^2/4))*$B$20/Formasjon!$B$19</f>
        <v>1491782.2361057478</v>
      </c>
      <c r="B190">
        <f t="shared" si="44"/>
        <v>0.0030982026523890343</v>
      </c>
      <c r="C190">
        <f>(B190*$B$21/$B$20*(K190/(PI()/4*$B$20^2))^2*Formasjon!$B$20/2)/10^5</f>
        <v>29.703968786115038</v>
      </c>
      <c r="D190">
        <f>C190+Formasjon!$B$28</f>
        <v>252.15756878611504</v>
      </c>
      <c r="E190" s="23">
        <f t="shared" si="50"/>
        <v>302</v>
      </c>
      <c r="F190" s="23">
        <f>E190-Formasjon!$B$28</f>
        <v>79.5464</v>
      </c>
      <c r="G190" s="59">
        <f t="shared" si="45"/>
        <v>7.136783771763406</v>
      </c>
      <c r="H190" s="49">
        <f t="shared" si="46"/>
        <v>7.138268307129443</v>
      </c>
      <c r="I190" s="65">
        <f t="shared" si="47"/>
        <v>7.222012603459805</v>
      </c>
      <c r="J190" s="24">
        <f t="shared" si="48"/>
        <v>10.999999999999979</v>
      </c>
      <c r="K190" s="80">
        <f t="shared" si="49"/>
        <v>0.1280237832277119</v>
      </c>
      <c r="L190" s="23">
        <f t="shared" si="51"/>
        <v>0.21290603162136146</v>
      </c>
      <c r="M190" s="23">
        <f t="shared" si="54"/>
        <v>11061.254870874309</v>
      </c>
      <c r="N190">
        <f t="shared" si="52"/>
        <v>8304.245398554285</v>
      </c>
      <c r="O190" s="23" t="str">
        <f>IF(L190&gt;K190,"OK","NOT OK")</f>
        <v>OK</v>
      </c>
      <c r="P190">
        <f t="shared" si="53"/>
        <v>754.9313998685728</v>
      </c>
    </row>
    <row r="191" spans="1:16" ht="12.75">
      <c r="A191" s="23">
        <f>Formasjon!$B$20*('Skogs teorem'!K191/(PI()*$B$20^2/4))*$B$20/Formasjon!$B$19</f>
        <v>1407764.0887273075</v>
      </c>
      <c r="B191">
        <f t="shared" si="44"/>
        <v>0.0031018986251653666</v>
      </c>
      <c r="C191">
        <f>(B191*$B$21/$B$20*(K191/(PI()/4*$B$20^2))^2*Formasjon!$B$20/2)/10^5</f>
        <v>26.483852525106702</v>
      </c>
      <c r="D191">
        <f>C191+Formasjon!$B$28</f>
        <v>248.9374525251067</v>
      </c>
      <c r="E191" s="23">
        <f t="shared" si="50"/>
        <v>303</v>
      </c>
      <c r="F191" s="23">
        <f>E191-Formasjon!$B$28</f>
        <v>80.5464</v>
      </c>
      <c r="G191" s="59">
        <f t="shared" si="45"/>
        <v>6.3546217387770865</v>
      </c>
      <c r="H191" s="49">
        <f t="shared" si="46"/>
        <v>6.356004966301657</v>
      </c>
      <c r="I191" s="65">
        <f t="shared" si="47"/>
        <v>6.434060607437901</v>
      </c>
      <c r="J191" s="24">
        <f t="shared" si="48"/>
        <v>9.99999999999999</v>
      </c>
      <c r="K191" s="80">
        <f t="shared" si="49"/>
        <v>0.12081340035356639</v>
      </c>
      <c r="L191" s="23">
        <f t="shared" si="51"/>
        <v>0.21424010255012021</v>
      </c>
      <c r="M191" s="23">
        <f t="shared" si="54"/>
        <v>10438.277790548136</v>
      </c>
      <c r="N191">
        <f t="shared" si="52"/>
        <v>7836.5448877989</v>
      </c>
      <c r="O191" s="23" t="str">
        <f>IF(L191&gt;K191,"OK","NOT OK")</f>
        <v>OK</v>
      </c>
      <c r="P191">
        <f t="shared" si="53"/>
        <v>783.6544887798908</v>
      </c>
    </row>
    <row r="192" spans="1:16" ht="12.75">
      <c r="A192" s="23">
        <f>Formasjon!$B$20*('Skogs teorem'!K192/(PI()*$B$20^2/4))*$B$20/Formasjon!$B$19</f>
        <v>1319646.510602867</v>
      </c>
      <c r="B192">
        <f t="shared" si="44"/>
        <v>0.0031062607574501634</v>
      </c>
      <c r="C192">
        <f>(B192*$B$21/$B$20*(K192/(PI()/4*$B$20^2))^2*Formasjon!$B$20/2)/10^5</f>
        <v>23.304883343923624</v>
      </c>
      <c r="D192">
        <f>C192+Formasjon!$B$28</f>
        <v>245.75848334392361</v>
      </c>
      <c r="E192" s="23">
        <f t="shared" si="50"/>
        <v>304</v>
      </c>
      <c r="F192" s="23">
        <f>E192-Formasjon!$B$28</f>
        <v>81.5464</v>
      </c>
      <c r="G192" s="59">
        <f t="shared" si="45"/>
        <v>5.583080831632018</v>
      </c>
      <c r="H192" s="49">
        <f t="shared" si="46"/>
        <v>5.5843583411156015</v>
      </c>
      <c r="I192" s="65">
        <f t="shared" si="47"/>
        <v>5.656476515636631</v>
      </c>
      <c r="J192" s="24">
        <f t="shared" si="48"/>
        <v>8.999999999999998</v>
      </c>
      <c r="K192" s="80">
        <f t="shared" si="49"/>
        <v>0.11325120699362703</v>
      </c>
      <c r="L192" s="23">
        <f t="shared" si="51"/>
        <v>0.2155659174837615</v>
      </c>
      <c r="M192" s="23">
        <f t="shared" si="54"/>
        <v>9784.904284249376</v>
      </c>
      <c r="N192">
        <f t="shared" si="52"/>
        <v>7346.024237424456</v>
      </c>
      <c r="O192" s="23" t="str">
        <f>IF(L192&gt;K192,"OK","NOT OK")</f>
        <v>OK</v>
      </c>
      <c r="P192">
        <f t="shared" si="53"/>
        <v>816.2249152693842</v>
      </c>
    </row>
    <row r="193" spans="1:16" ht="12.75">
      <c r="A193" s="23">
        <f>Formasjon!$B$20*('Skogs teorem'!K193/(PI()*$B$20^2/4))*$B$20/Formasjon!$B$19</f>
        <v>1226763.5774405906</v>
      </c>
      <c r="B193">
        <f t="shared" si="44"/>
        <v>0.0031115088416233294</v>
      </c>
      <c r="C193">
        <f>(B193*$B$21/$B$20*(K193/(PI()/4*$B$20^2))^2*Formasjon!$B$20/2)/10^5</f>
        <v>20.173747547381538</v>
      </c>
      <c r="D193">
        <f>C193+Formasjon!$B$28</f>
        <v>242.62734754738153</v>
      </c>
      <c r="E193" s="23">
        <f t="shared" si="50"/>
        <v>305</v>
      </c>
      <c r="F193" s="23">
        <f>E193-Formasjon!$B$28</f>
        <v>82.5464</v>
      </c>
      <c r="G193" s="59">
        <f t="shared" si="45"/>
        <v>4.82388499252256</v>
      </c>
      <c r="H193" s="49">
        <f t="shared" si="46"/>
        <v>4.825051753411367</v>
      </c>
      <c r="I193" s="65">
        <f t="shared" si="47"/>
        <v>4.890948430906348</v>
      </c>
      <c r="J193" s="24">
        <f t="shared" si="48"/>
        <v>8.000000000000023</v>
      </c>
      <c r="K193" s="80">
        <f t="shared" si="49"/>
        <v>0.10528005395740173</v>
      </c>
      <c r="L193" s="23">
        <f t="shared" si="51"/>
        <v>0.21688362782963985</v>
      </c>
      <c r="M193" s="23">
        <f t="shared" si="54"/>
        <v>9096.196661919508</v>
      </c>
      <c r="N193">
        <f t="shared" si="52"/>
        <v>6828.976472912544</v>
      </c>
      <c r="O193" s="23" t="str">
        <f>IF(L193&gt;K193,"OK","NOT OK")</f>
        <v>OK</v>
      </c>
      <c r="P193">
        <f t="shared" si="53"/>
        <v>853.6220591140655</v>
      </c>
    </row>
    <row r="194" spans="1:16" ht="12.75">
      <c r="A194" s="23">
        <f>Formasjon!$B$20*('Skogs teorem'!K194/(PI()*$B$20^2/4))*$B$20/Formasjon!$B$19</f>
        <v>1128246.8044974983</v>
      </c>
      <c r="B194">
        <f t="shared" si="44"/>
        <v>0.0031179770435289097</v>
      </c>
      <c r="C194">
        <f>(B194*$B$21/$B$20*(K194/(PI()/4*$B$20^2))^2*Formasjon!$B$20/2)/10^5</f>
        <v>17.099166192587745</v>
      </c>
      <c r="D194">
        <f>C194+Formasjon!$B$28</f>
        <v>239.55276619258774</v>
      </c>
      <c r="E194" s="23">
        <f t="shared" si="50"/>
        <v>306</v>
      </c>
      <c r="F194" s="23">
        <f>E194-Formasjon!$B$28</f>
        <v>83.5464</v>
      </c>
      <c r="G194" s="59">
        <f t="shared" si="45"/>
        <v>4.079282075859495</v>
      </c>
      <c r="H194" s="49">
        <f t="shared" si="46"/>
        <v>4.080332281366438</v>
      </c>
      <c r="I194" s="65">
        <f t="shared" si="47"/>
        <v>4.139679282607399</v>
      </c>
      <c r="J194" s="24">
        <f t="shared" si="48"/>
        <v>6.999999999999986</v>
      </c>
      <c r="K194" s="80">
        <f t="shared" si="49"/>
        <v>0.09682540844795746</v>
      </c>
      <c r="L194" s="23">
        <f t="shared" si="51"/>
        <v>0.21819338042313655</v>
      </c>
      <c r="M194" s="23">
        <f t="shared" si="54"/>
        <v>8365.715289903525</v>
      </c>
      <c r="N194">
        <f t="shared" si="52"/>
        <v>6280.567034462105</v>
      </c>
      <c r="O194" s="23" t="str">
        <f>IF(L194&gt;K194,"OK","NOT OK")</f>
        <v>OK</v>
      </c>
      <c r="P194">
        <f t="shared" si="53"/>
        <v>897.2238620660167</v>
      </c>
    </row>
    <row r="195" spans="1:16" ht="12.75">
      <c r="A195" s="23">
        <f>Formasjon!$B$20*('Skogs teorem'!K195/(PI()*$B$20^2/4))*$B$20/Formasjon!$B$19</f>
        <v>1022926.7016332863</v>
      </c>
      <c r="B195">
        <f t="shared" si="44"/>
        <v>0.0031262022345990748</v>
      </c>
      <c r="C195">
        <f>(B195*$B$21/$B$20*(K195/(PI()/4*$B$20^2))^2*Formasjon!$B$20/2)/10^5</f>
        <v>14.092884589387882</v>
      </c>
      <c r="D195">
        <f>C195+Formasjon!$B$28</f>
        <v>236.5464845893879</v>
      </c>
      <c r="E195" s="23">
        <f t="shared" si="50"/>
        <v>307</v>
      </c>
      <c r="F195" s="23">
        <f>E195-Formasjon!$B$28</f>
        <v>84.5464</v>
      </c>
      <c r="G195" s="59">
        <f t="shared" si="45"/>
        <v>3.352298206219375</v>
      </c>
      <c r="H195" s="49">
        <f t="shared" si="46"/>
        <v>3.3532250599191338</v>
      </c>
      <c r="I195" s="65">
        <f t="shared" si="47"/>
        <v>3.4056377804330364</v>
      </c>
      <c r="J195" s="24">
        <f t="shared" si="48"/>
        <v>6.000000000000022</v>
      </c>
      <c r="K195" s="80">
        <f t="shared" si="49"/>
        <v>0.08778690558053735</v>
      </c>
      <c r="L195" s="23">
        <f t="shared" si="51"/>
        <v>0.2194953177186371</v>
      </c>
      <c r="M195" s="23">
        <f t="shared" si="54"/>
        <v>7584.788642158426</v>
      </c>
      <c r="N195">
        <f t="shared" si="52"/>
        <v>5694.285767386205</v>
      </c>
      <c r="O195" s="23" t="str">
        <f>IF(L195&gt;K195,"OK","NOT OK")</f>
        <v>OK</v>
      </c>
      <c r="P195">
        <f t="shared" si="53"/>
        <v>949.0476278976973</v>
      </c>
    </row>
    <row r="196" spans="1:16" ht="12.75">
      <c r="A196" s="23">
        <f>Formasjon!$B$20*('Skogs teorem'!K196/(PI()*$B$20^2/4))*$B$20/Formasjon!$B$19</f>
        <v>909162.6646873842</v>
      </c>
      <c r="B196">
        <f t="shared" si="44"/>
        <v>0.0031371114617376092</v>
      </c>
      <c r="C196">
        <f>(B196*$B$21/$B$20*(K196/(PI()/4*$B$20^2))^2*Formasjon!$B$20/2)/10^5</f>
        <v>11.171382730291185</v>
      </c>
      <c r="D196">
        <f>C196+Formasjon!$B$28</f>
        <v>233.62498273029118</v>
      </c>
      <c r="E196" s="23">
        <f t="shared" si="50"/>
        <v>308</v>
      </c>
      <c r="F196" s="23">
        <f>E196-Formasjon!$B$28</f>
        <v>85.5464</v>
      </c>
      <c r="G196" s="59">
        <f t="shared" si="45"/>
        <v>2.647177072147131</v>
      </c>
      <c r="H196" s="49">
        <f t="shared" si="46"/>
        <v>2.6479724905896185</v>
      </c>
      <c r="I196" s="65">
        <f t="shared" si="47"/>
        <v>2.6929926884720845</v>
      </c>
      <c r="J196" s="24">
        <f t="shared" si="48"/>
        <v>5.000000000000009</v>
      </c>
      <c r="K196" s="80">
        <f t="shared" si="49"/>
        <v>0.07802374977095232</v>
      </c>
      <c r="L196" s="23">
        <f t="shared" si="51"/>
        <v>0.2207895779703727</v>
      </c>
      <c r="M196" s="23">
        <f t="shared" si="54"/>
        <v>6741.25198021028</v>
      </c>
      <c r="N196">
        <f t="shared" si="52"/>
        <v>5060.999985142852</v>
      </c>
      <c r="O196" s="23" t="str">
        <f>IF(L196&gt;K196,"OK","NOT OK")</f>
        <v>OK</v>
      </c>
      <c r="P196">
        <f t="shared" si="53"/>
        <v>1012.1999970285686</v>
      </c>
    </row>
    <row r="197" spans="1:16" ht="12.75">
      <c r="A197" s="23">
        <f>Formasjon!$B$20*('Skogs teorem'!K197/(PI()*$B$20^2/4))*$B$20/Formasjon!$B$19</f>
        <v>784524.7892647113</v>
      </c>
      <c r="B197">
        <f t="shared" si="44"/>
        <v>0.0031524713852136175</v>
      </c>
      <c r="C197">
        <f>(B197*$B$21/$B$20*(K197/(PI()/4*$B$20^2))^2*Formasjon!$B$20/2)/10^5</f>
        <v>8.35907632584617</v>
      </c>
      <c r="D197">
        <f>C197+Formasjon!$B$28</f>
        <v>230.81267632584616</v>
      </c>
      <c r="E197" s="23">
        <f t="shared" si="50"/>
        <v>309</v>
      </c>
      <c r="F197" s="23">
        <f>E197-Formasjon!$B$28</f>
        <v>86.5464</v>
      </c>
      <c r="G197" s="59">
        <f t="shared" si="45"/>
        <v>1.9702010595467314</v>
      </c>
      <c r="H197" s="49">
        <f t="shared" si="46"/>
        <v>1.9708552560989931</v>
      </c>
      <c r="I197" s="65">
        <f t="shared" si="47"/>
        <v>2.007926710685007</v>
      </c>
      <c r="J197" s="24">
        <f t="shared" si="48"/>
        <v>3.9999999999999787</v>
      </c>
      <c r="K197" s="80">
        <f t="shared" si="49"/>
        <v>0.06732740820120077</v>
      </c>
      <c r="L197" s="23">
        <f t="shared" si="51"/>
        <v>0.22207629540377594</v>
      </c>
      <c r="M197" s="23">
        <f t="shared" si="54"/>
        <v>5817.0880685837465</v>
      </c>
      <c r="N197">
        <f t="shared" si="52"/>
        <v>4367.183234672482</v>
      </c>
      <c r="O197" s="23" t="str">
        <f>IF(L197&gt;K197,"OK","NOT OK")</f>
        <v>OK</v>
      </c>
      <c r="P197">
        <f t="shared" si="53"/>
        <v>1091.7958086681265</v>
      </c>
    </row>
    <row r="198" spans="1:16" ht="12.75">
      <c r="A198" s="23">
        <f>Formasjon!$B$20*('Skogs teorem'!K198/(PI()*$B$20^2/4))*$B$20/Formasjon!$B$19</f>
        <v>645130.9053842641</v>
      </c>
      <c r="B198">
        <f t="shared" si="44"/>
        <v>0.0031761692341715554</v>
      </c>
      <c r="C198">
        <f>(B198*$B$21/$B$20*(K198/(PI()/4*$B$20^2))^2*Formasjon!$B$20/2)/10^5</f>
        <v>5.694992093576569</v>
      </c>
      <c r="D198">
        <f>C198+Formasjon!$B$28</f>
        <v>228.14859209357655</v>
      </c>
      <c r="E198" s="23">
        <f t="shared" si="50"/>
        <v>310</v>
      </c>
      <c r="F198" s="23">
        <f>E198-Formasjon!$B$28</f>
        <v>87.5464</v>
      </c>
      <c r="G198" s="59">
        <f t="shared" si="45"/>
        <v>1.3314005092785135</v>
      </c>
      <c r="H198" s="49">
        <f t="shared" si="46"/>
        <v>1.3319014417614787</v>
      </c>
      <c r="I198" s="65">
        <f t="shared" si="47"/>
        <v>1.3603369000160694</v>
      </c>
      <c r="J198" s="24">
        <f t="shared" si="48"/>
        <v>2.9999999999999907</v>
      </c>
      <c r="K198" s="80">
        <f t="shared" si="49"/>
        <v>0.0553647155633229</v>
      </c>
      <c r="L198" s="23">
        <f t="shared" si="51"/>
        <v>0.22335560037795113</v>
      </c>
      <c r="M198" s="23">
        <f t="shared" si="54"/>
        <v>4783.511424671098</v>
      </c>
      <c r="N198">
        <f t="shared" si="52"/>
        <v>3591.22479329662</v>
      </c>
      <c r="O198" s="23" t="str">
        <f>IF(L198&gt;K198,"OK","NOT OK")</f>
        <v>OK</v>
      </c>
      <c r="P198">
        <f t="shared" si="53"/>
        <v>1197.0749310988772</v>
      </c>
    </row>
    <row r="199" spans="1:16" ht="12.75">
      <c r="A199" s="23">
        <f>Formasjon!$B$20*('Skogs teorem'!K199/(PI()*$B$20^2/4))*$B$20/Formasjon!$B$19</f>
        <v>484030.05406601785</v>
      </c>
      <c r="B199">
        <f t="shared" si="44"/>
        <v>0.0032189973932649925</v>
      </c>
      <c r="C199">
        <f>(B199*$B$21/$B$20*(K199/(PI()/4*$B$20^2))^2*Formasjon!$B$20/2)/10^5</f>
        <v>3.24907007029997</v>
      </c>
      <c r="D199">
        <f>C199+Formasjon!$B$28</f>
        <v>225.70267007029997</v>
      </c>
      <c r="E199" s="23">
        <f t="shared" si="50"/>
        <v>311</v>
      </c>
      <c r="F199" s="23">
        <f>E199-Formasjon!$B$28</f>
        <v>88.5464</v>
      </c>
      <c r="G199" s="59">
        <f t="shared" si="45"/>
        <v>0.7487153517206013</v>
      </c>
      <c r="H199" s="49">
        <f t="shared" si="46"/>
        <v>0.749048249482438</v>
      </c>
      <c r="I199" s="65">
        <f t="shared" si="47"/>
        <v>0.7679979756814241</v>
      </c>
      <c r="J199" s="24">
        <f t="shared" si="48"/>
        <v>2.00000000000001</v>
      </c>
      <c r="K199" s="80">
        <f t="shared" si="49"/>
        <v>0.04153914506932958</v>
      </c>
      <c r="L199" s="23">
        <f t="shared" si="51"/>
        <v>0.22462761953981716</v>
      </c>
      <c r="M199" s="23">
        <f t="shared" si="54"/>
        <v>3588.9821339900755</v>
      </c>
      <c r="N199">
        <f t="shared" si="52"/>
        <v>2694.4310315240805</v>
      </c>
      <c r="O199" s="23" t="str">
        <f>IF(L199&gt;K199,"OK","NOT OK")</f>
        <v>OK</v>
      </c>
      <c r="P199">
        <f t="shared" si="53"/>
        <v>1347.2155157620334</v>
      </c>
    </row>
    <row r="200" spans="1:16" ht="12.75">
      <c r="A200" s="23">
        <f>Formasjon!$B$20*('Skogs teorem'!K200/(PI()*$B$20^2/4))*$B$20/Formasjon!$B$19</f>
        <v>286103.03595487506</v>
      </c>
      <c r="B200">
        <f t="shared" si="44"/>
        <v>0.003328536804175155</v>
      </c>
      <c r="C200">
        <f>(B200*$B$21/$B$20*(K200/(PI()/4*$B$20^2))^2*Formasjon!$B$20/2)/10^5</f>
        <v>1.17379455816231</v>
      </c>
      <c r="D200">
        <f>C200+Formasjon!$B$28</f>
        <v>223.6273945581623</v>
      </c>
      <c r="E200" s="23">
        <f t="shared" si="50"/>
        <v>312</v>
      </c>
      <c r="F200" s="23">
        <f>E200-Formasjon!$B$28</f>
        <v>89.5464</v>
      </c>
      <c r="G200" s="59">
        <f t="shared" si="45"/>
        <v>0.2610890684116632</v>
      </c>
      <c r="H200" s="49">
        <f t="shared" si="46"/>
        <v>0.2612385008706525</v>
      </c>
      <c r="I200" s="65">
        <f t="shared" si="47"/>
        <v>0.2697924780496582</v>
      </c>
      <c r="J200" s="24">
        <f t="shared" si="48"/>
        <v>0.9999999999999915</v>
      </c>
      <c r="K200" s="80">
        <f t="shared" si="49"/>
        <v>0.024553176844023465</v>
      </c>
      <c r="L200" s="23">
        <f t="shared" si="51"/>
        <v>0.22589247597043755</v>
      </c>
      <c r="M200" s="23">
        <f t="shared" si="54"/>
        <v>2121.3944793236274</v>
      </c>
      <c r="N200">
        <f t="shared" si="52"/>
        <v>1592.6384979907111</v>
      </c>
      <c r="O200" s="23" t="str">
        <f>IF(L200&gt;K200,"OK","NOT OK")</f>
        <v>OK</v>
      </c>
      <c r="P200">
        <f t="shared" si="53"/>
        <v>1592.6384979907248</v>
      </c>
    </row>
    <row r="201" spans="1:16" ht="13.5" thickBot="1">
      <c r="A201" s="23">
        <f>Formasjon!$B$20*('Skogs teorem'!K201/(PI()*$B$20^2/4))*$B$20/Formasjon!$B$19</f>
        <v>-1.1214404742681146E-06</v>
      </c>
      <c r="B201">
        <v>0</v>
      </c>
      <c r="C201">
        <f>(B201*$B$21/$B$20*(K201/(PI()/4*$B$20^2))^2*Formasjon!$B$20/2)/10^5</f>
        <v>0</v>
      </c>
      <c r="D201">
        <f>C201+Formasjon!$B$28</f>
        <v>222.4536</v>
      </c>
      <c r="E201" s="23">
        <f t="shared" si="50"/>
        <v>313</v>
      </c>
      <c r="F201" s="23">
        <f>E201-Formasjon!$B$28</f>
        <v>90.5464</v>
      </c>
      <c r="G201" s="60">
        <f t="shared" si="45"/>
        <v>7.562339305877686E-12</v>
      </c>
      <c r="H201" s="53">
        <f t="shared" si="46"/>
        <v>0</v>
      </c>
      <c r="I201" s="66">
        <f t="shared" si="47"/>
        <v>0</v>
      </c>
      <c r="J201" s="24">
        <f t="shared" si="48"/>
        <v>0</v>
      </c>
      <c r="K201" s="80">
        <f t="shared" si="49"/>
        <v>-9.624129360547381E-14</v>
      </c>
      <c r="L201" s="23">
        <f t="shared" si="51"/>
        <v>0.22715028932401682</v>
      </c>
      <c r="M201" s="23">
        <f>K201*3600*24</f>
        <v>-8.315247767512938E-09</v>
      </c>
      <c r="N201">
        <f t="shared" si="52"/>
        <v>-6.242678504138842E-09</v>
      </c>
      <c r="O201" s="23" t="str">
        <f>IF(L201&gt;K201,"OK","NOT OK")</f>
        <v>OK</v>
      </c>
      <c r="P201">
        <v>0</v>
      </c>
    </row>
  </sheetData>
  <printOptions/>
  <pageMargins left="0.7480314960629921" right="0.7480314960629921" top="0.984251968503937" bottom="0.984251968503937" header="0.5118110236220472" footer="0.5118110236220472"/>
  <pageSetup fitToHeight="4" horizontalDpi="1200" verticalDpi="1200" orientation="landscape" scale="57" r:id="rId2"/>
  <rowBreaks count="3" manualBreakCount="3">
    <brk id="63" max="255" man="1"/>
    <brk id="109" max="255" man="1"/>
    <brk id="15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workbookViewId="0" topLeftCell="A1">
      <selection activeCell="G30" sqref="G30"/>
    </sheetView>
  </sheetViews>
  <sheetFormatPr defaultColWidth="9.140625" defaultRowHeight="12.75"/>
  <cols>
    <col min="1" max="1" width="10.7109375" style="0" customWidth="1"/>
    <col min="2" max="2" width="12.421875" style="0" bestFit="1" customWidth="1"/>
    <col min="9" max="9" width="12.421875" style="0" bestFit="1" customWidth="1"/>
    <col min="13" max="13" width="12.421875" style="0" bestFit="1" customWidth="1"/>
  </cols>
  <sheetData>
    <row r="1" ht="15.75">
      <c r="A1" s="2" t="s">
        <v>33</v>
      </c>
    </row>
    <row r="2" ht="13.5" thickBot="1"/>
    <row r="3" spans="1:10" ht="12.75">
      <c r="A3" s="16" t="s">
        <v>1</v>
      </c>
      <c r="B3" s="3"/>
      <c r="C3" s="4"/>
      <c r="H3" s="16" t="s">
        <v>45</v>
      </c>
      <c r="I3" s="3">
        <f>0.4</f>
        <v>0.4</v>
      </c>
      <c r="J3" s="4" t="s">
        <v>46</v>
      </c>
    </row>
    <row r="4" spans="1:10" ht="12.75">
      <c r="A4" s="17" t="s">
        <v>34</v>
      </c>
      <c r="B4" s="5">
        <v>1</v>
      </c>
      <c r="C4" s="6" t="s">
        <v>35</v>
      </c>
      <c r="H4" s="17"/>
      <c r="I4" s="5">
        <f>I3*0.0254</f>
        <v>0.01016</v>
      </c>
      <c r="J4" s="6" t="s">
        <v>17</v>
      </c>
    </row>
    <row r="5" spans="1:10" ht="12.75">
      <c r="A5" s="17" t="s">
        <v>42</v>
      </c>
      <c r="B5" s="5" t="e">
        <f>Formasjon!#REF!</f>
        <v>#REF!</v>
      </c>
      <c r="C5" s="6" t="s">
        <v>30</v>
      </c>
      <c r="H5" s="17" t="s">
        <v>44</v>
      </c>
      <c r="I5" s="5">
        <f>I4/2</f>
        <v>0.00508</v>
      </c>
      <c r="J5" s="6" t="s">
        <v>17</v>
      </c>
    </row>
    <row r="6" spans="1:10" ht="12.75">
      <c r="A6" s="17" t="s">
        <v>43</v>
      </c>
      <c r="B6" s="5" t="e">
        <f>B5/B4</f>
        <v>#REF!</v>
      </c>
      <c r="C6" s="6" t="s">
        <v>30</v>
      </c>
      <c r="H6" s="17"/>
      <c r="I6" s="5"/>
      <c r="J6" s="6"/>
    </row>
    <row r="7" spans="1:10" ht="12.75">
      <c r="A7" s="17" t="s">
        <v>36</v>
      </c>
      <c r="B7" s="5">
        <f>Formasjon!B20</f>
        <v>690</v>
      </c>
      <c r="C7" s="6" t="s">
        <v>21</v>
      </c>
      <c r="H7" s="17" t="s">
        <v>47</v>
      </c>
      <c r="I7" s="5">
        <f>0.1778</f>
        <v>0.1778</v>
      </c>
      <c r="J7" s="6" t="s">
        <v>17</v>
      </c>
    </row>
    <row r="8" spans="1:10" ht="13.5" thickBot="1">
      <c r="A8" s="17" t="s">
        <v>37</v>
      </c>
      <c r="B8" s="5">
        <f>PI()*I5^2</f>
        <v>8.107319665559966E-05</v>
      </c>
      <c r="C8" s="6" t="s">
        <v>24</v>
      </c>
      <c r="D8" t="s">
        <v>39</v>
      </c>
      <c r="H8" s="18" t="s">
        <v>48</v>
      </c>
      <c r="I8" s="8">
        <f>1.5</f>
        <v>1.5</v>
      </c>
      <c r="J8" s="9" t="s">
        <v>17</v>
      </c>
    </row>
    <row r="9" spans="1:4" ht="12.75">
      <c r="A9" s="17" t="s">
        <v>38</v>
      </c>
      <c r="B9" s="5">
        <f>PI()*I7*I8</f>
        <v>0.8378627607123978</v>
      </c>
      <c r="C9" s="6" t="s">
        <v>24</v>
      </c>
      <c r="D9" t="s">
        <v>40</v>
      </c>
    </row>
    <row r="10" spans="1:3" ht="12.75">
      <c r="A10" s="17" t="s">
        <v>60</v>
      </c>
      <c r="B10" s="5">
        <f>B8*B4</f>
        <v>8.107319665559966E-05</v>
      </c>
      <c r="C10" s="6" t="s">
        <v>24</v>
      </c>
    </row>
    <row r="11" spans="1:3" ht="12.75">
      <c r="A11" s="17" t="s">
        <v>59</v>
      </c>
      <c r="B11" s="5">
        <f>B8/B9</f>
        <v>9.676190476190478E-05</v>
      </c>
      <c r="C11" s="6"/>
    </row>
    <row r="12" spans="1:3" ht="12.75">
      <c r="A12" s="17"/>
      <c r="B12" s="5"/>
      <c r="C12" s="6"/>
    </row>
    <row r="13" spans="1:13" ht="12.75">
      <c r="A13" s="17" t="s">
        <v>41</v>
      </c>
      <c r="B13" s="5" t="e">
        <f>0.5*B7*(B6/B8)^2*(1-2*(B8/B9)+(B8/B9)^2)</f>
        <v>#REF!</v>
      </c>
      <c r="C13" s="6" t="s">
        <v>29</v>
      </c>
      <c r="H13" s="14" t="s">
        <v>38</v>
      </c>
      <c r="I13">
        <f>2*PI()*Formasjon!B16*Formasjon!B7/(Formasjon!$B$19*LN(Formasjon!B31/Formasjon!B30))</f>
        <v>1.2726391889170071E-07</v>
      </c>
      <c r="J13" t="s">
        <v>24</v>
      </c>
      <c r="L13" s="14" t="s">
        <v>109</v>
      </c>
      <c r="M13">
        <f>M16/M14</f>
        <v>0.00019352380952380956</v>
      </c>
    </row>
    <row r="14" spans="1:14" ht="13.5" thickBot="1">
      <c r="A14" s="18"/>
      <c r="B14" s="10" t="e">
        <f>B13/10^5</f>
        <v>#REF!</v>
      </c>
      <c r="C14" s="9" t="s">
        <v>49</v>
      </c>
      <c r="H14" s="14" t="s">
        <v>107</v>
      </c>
      <c r="I14">
        <f>0.000141</f>
        <v>0.000141</v>
      </c>
      <c r="L14" s="14" t="s">
        <v>110</v>
      </c>
      <c r="M14">
        <f>PI()*I7*1.5</f>
        <v>0.8378627607123978</v>
      </c>
      <c r="N14" t="s">
        <v>24</v>
      </c>
    </row>
    <row r="15" spans="8:14" ht="12.75">
      <c r="H15" s="14" t="s">
        <v>108</v>
      </c>
      <c r="I15">
        <v>0.053838</v>
      </c>
      <c r="L15" s="14" t="s">
        <v>111</v>
      </c>
      <c r="M15">
        <f>PI()*I5^2</f>
        <v>8.107319665559966E-05</v>
      </c>
      <c r="N15" t="s">
        <v>24</v>
      </c>
    </row>
    <row r="16" spans="8:14" ht="13.5" thickBot="1">
      <c r="H16" s="14" t="s">
        <v>76</v>
      </c>
      <c r="I16">
        <v>2</v>
      </c>
      <c r="L16" s="14" t="s">
        <v>112</v>
      </c>
      <c r="M16">
        <f>M15*I16</f>
        <v>0.0001621463933111993</v>
      </c>
      <c r="N16" t="s">
        <v>24</v>
      </c>
    </row>
    <row r="17" spans="1:3" ht="12.75">
      <c r="A17" s="16" t="s">
        <v>2</v>
      </c>
      <c r="B17" s="3"/>
      <c r="C17" s="4"/>
    </row>
    <row r="18" spans="1:10" ht="12.75">
      <c r="A18" s="17" t="s">
        <v>34</v>
      </c>
      <c r="B18" s="5">
        <v>5</v>
      </c>
      <c r="C18" s="6" t="s">
        <v>35</v>
      </c>
      <c r="I18" s="12"/>
      <c r="J18" s="12"/>
    </row>
    <row r="19" spans="1:10" ht="12.75">
      <c r="A19" s="17" t="s">
        <v>42</v>
      </c>
      <c r="B19" s="5" t="e">
        <f>Formasjon!#REF!</f>
        <v>#REF!</v>
      </c>
      <c r="C19" s="6" t="s">
        <v>30</v>
      </c>
      <c r="H19" s="12"/>
      <c r="I19" s="12"/>
      <c r="J19" s="12"/>
    </row>
    <row r="20" spans="1:10" ht="12.75">
      <c r="A20" s="17" t="s">
        <v>43</v>
      </c>
      <c r="B20" s="5" t="e">
        <f>B19/B18</f>
        <v>#REF!</v>
      </c>
      <c r="C20" s="6" t="s">
        <v>30</v>
      </c>
      <c r="H20" s="12"/>
      <c r="I20" s="12"/>
      <c r="J20" s="12"/>
    </row>
    <row r="21" spans="1:9" ht="12.75">
      <c r="A21" s="17" t="s">
        <v>36</v>
      </c>
      <c r="B21" s="5">
        <f>Formasjon!C20</f>
        <v>690</v>
      </c>
      <c r="C21" s="6" t="s">
        <v>21</v>
      </c>
      <c r="H21" s="23"/>
      <c r="I21" s="23"/>
    </row>
    <row r="22" spans="1:9" ht="12.75">
      <c r="A22" s="17" t="s">
        <v>37</v>
      </c>
      <c r="B22" s="5">
        <f>B8</f>
        <v>8.107319665559966E-05</v>
      </c>
      <c r="C22" s="6" t="s">
        <v>24</v>
      </c>
      <c r="D22" t="s">
        <v>39</v>
      </c>
      <c r="H22" s="23"/>
      <c r="I22" s="23"/>
    </row>
    <row r="23" spans="1:9" ht="12.75">
      <c r="A23" s="17" t="s">
        <v>38</v>
      </c>
      <c r="B23" s="5">
        <f>B9</f>
        <v>0.8378627607123978</v>
      </c>
      <c r="C23" s="6" t="s">
        <v>24</v>
      </c>
      <c r="D23" t="s">
        <v>40</v>
      </c>
      <c r="H23" s="23"/>
      <c r="I23" s="23"/>
    </row>
    <row r="24" spans="1:9" ht="12.75">
      <c r="A24" s="17" t="s">
        <v>60</v>
      </c>
      <c r="B24" s="5"/>
      <c r="C24" s="6"/>
      <c r="H24" s="23"/>
      <c r="I24" s="23"/>
    </row>
    <row r="25" spans="1:9" ht="12.75">
      <c r="A25" s="17" t="s">
        <v>59</v>
      </c>
      <c r="B25" s="5"/>
      <c r="C25" s="6"/>
      <c r="H25" s="23"/>
      <c r="I25" s="23"/>
    </row>
    <row r="26" spans="1:9" ht="12.75">
      <c r="A26" s="17"/>
      <c r="B26" s="5"/>
      <c r="C26" s="6"/>
      <c r="H26" s="23"/>
      <c r="I26" s="23"/>
    </row>
    <row r="27" spans="1:9" ht="12.75">
      <c r="A27" s="17" t="s">
        <v>41</v>
      </c>
      <c r="B27" s="5" t="e">
        <f>0.5*B21*(B20/B22)^2*(1-2*(B22/B23)+(B22/B23)^2)</f>
        <v>#REF!</v>
      </c>
      <c r="C27" s="6" t="s">
        <v>29</v>
      </c>
      <c r="H27" s="23"/>
      <c r="I27" s="23"/>
    </row>
    <row r="28" spans="1:9" ht="13.5" thickBot="1">
      <c r="A28" s="7"/>
      <c r="B28" s="10" t="e">
        <f>B27/10^5</f>
        <v>#REF!</v>
      </c>
      <c r="C28" s="9" t="s">
        <v>49</v>
      </c>
      <c r="H28" s="23"/>
      <c r="I28" s="23"/>
    </row>
    <row r="29" spans="8:9" ht="12.75">
      <c r="H29" s="23"/>
      <c r="I29" s="23"/>
    </row>
    <row r="30" spans="8:9" ht="13.5" thickBot="1">
      <c r="H30" s="23"/>
      <c r="I30" s="23"/>
    </row>
    <row r="31" spans="1:9" ht="12.75">
      <c r="A31" s="16" t="s">
        <v>1</v>
      </c>
      <c r="B31" s="3"/>
      <c r="C31" s="4"/>
      <c r="H31" s="23"/>
      <c r="I31" s="23"/>
    </row>
    <row r="32" spans="1:9" ht="12.75">
      <c r="A32" s="17" t="s">
        <v>34</v>
      </c>
      <c r="B32" s="5">
        <v>10</v>
      </c>
      <c r="C32" s="6" t="s">
        <v>35</v>
      </c>
      <c r="H32" s="23"/>
      <c r="I32" s="23"/>
    </row>
    <row r="33" spans="1:9" ht="12.75">
      <c r="A33" s="17" t="s">
        <v>42</v>
      </c>
      <c r="B33" s="5">
        <f>Formasjon!D28</f>
        <v>0</v>
      </c>
      <c r="C33" s="6" t="s">
        <v>30</v>
      </c>
      <c r="H33" s="23"/>
      <c r="I33" s="23"/>
    </row>
    <row r="34" spans="1:9" ht="12.75">
      <c r="A34" s="17" t="s">
        <v>43</v>
      </c>
      <c r="B34" s="5">
        <f>B33/B32</f>
        <v>0</v>
      </c>
      <c r="C34" s="6" t="s">
        <v>30</v>
      </c>
      <c r="H34" s="23"/>
      <c r="I34" s="23"/>
    </row>
    <row r="35" spans="1:9" ht="12.75">
      <c r="A35" s="17" t="s">
        <v>36</v>
      </c>
      <c r="B35" s="5">
        <f>Formasjon!D20</f>
        <v>690</v>
      </c>
      <c r="C35" s="6" t="s">
        <v>21</v>
      </c>
      <c r="H35" s="23"/>
      <c r="I35" s="23"/>
    </row>
    <row r="36" spans="1:9" ht="12.75">
      <c r="A36" s="17" t="s">
        <v>37</v>
      </c>
      <c r="B36" s="5">
        <f>B8</f>
        <v>8.107319665559966E-05</v>
      </c>
      <c r="C36" s="6" t="s">
        <v>24</v>
      </c>
      <c r="D36" t="s">
        <v>39</v>
      </c>
      <c r="H36" s="23"/>
      <c r="I36" s="23"/>
    </row>
    <row r="37" spans="1:9" ht="12.75">
      <c r="A37" s="17" t="s">
        <v>38</v>
      </c>
      <c r="B37" s="5">
        <f>B9</f>
        <v>0.8378627607123978</v>
      </c>
      <c r="C37" s="6" t="s">
        <v>24</v>
      </c>
      <c r="D37" t="s">
        <v>40</v>
      </c>
      <c r="H37" s="23"/>
      <c r="I37" s="23"/>
    </row>
    <row r="38" spans="1:9" ht="12.75">
      <c r="A38" s="17" t="s">
        <v>60</v>
      </c>
      <c r="B38" s="5"/>
      <c r="C38" s="6"/>
      <c r="H38" s="23"/>
      <c r="I38" s="23"/>
    </row>
    <row r="39" spans="1:9" ht="12.75">
      <c r="A39" s="17" t="s">
        <v>59</v>
      </c>
      <c r="B39" s="5"/>
      <c r="C39" s="6"/>
      <c r="H39" s="23"/>
      <c r="I39" s="23"/>
    </row>
    <row r="40" spans="1:9" ht="12.75">
      <c r="A40" s="17"/>
      <c r="B40" s="5"/>
      <c r="C40" s="6"/>
      <c r="H40" s="23"/>
      <c r="I40" s="23"/>
    </row>
    <row r="41" spans="1:9" ht="12.75">
      <c r="A41" s="17" t="s">
        <v>41</v>
      </c>
      <c r="B41" s="5">
        <f>0.5*B35*(B34/B36)^2*(1-2*(B36/B37)+(B36/B37)^2)</f>
        <v>0</v>
      </c>
      <c r="C41" s="6" t="s">
        <v>29</v>
      </c>
      <c r="H41" s="23"/>
      <c r="I41" s="23"/>
    </row>
    <row r="42" spans="1:9" ht="13.5" thickBot="1">
      <c r="A42" s="18"/>
      <c r="B42" s="10">
        <f>B41/10^5</f>
        <v>0</v>
      </c>
      <c r="C42" s="9" t="s">
        <v>49</v>
      </c>
      <c r="H42" s="23"/>
      <c r="I42" s="23"/>
    </row>
    <row r="43" spans="8:9" ht="12.75">
      <c r="H43" s="23"/>
      <c r="I43" s="23"/>
    </row>
    <row r="44" spans="8:9" ht="12.75">
      <c r="H44" s="23"/>
      <c r="I44" s="23"/>
    </row>
    <row r="45" spans="8:9" ht="12.75">
      <c r="H45" s="23"/>
      <c r="I45" s="23"/>
    </row>
    <row r="46" spans="8:9" ht="12.75">
      <c r="H46" s="23"/>
      <c r="I46" s="23"/>
    </row>
    <row r="47" spans="8:9" ht="12.75">
      <c r="H47" s="23"/>
      <c r="I47" s="23"/>
    </row>
    <row r="48" spans="8:9" ht="12.75">
      <c r="H48" s="23"/>
      <c r="I48" s="23"/>
    </row>
    <row r="49" spans="8:9" ht="12.75">
      <c r="H49" s="23"/>
      <c r="I49" s="23"/>
    </row>
    <row r="50" spans="8:9" ht="12.75">
      <c r="H50" s="23"/>
      <c r="I50" s="23"/>
    </row>
    <row r="51" spans="8:9" ht="12.75">
      <c r="H51" s="23"/>
      <c r="I51" s="23"/>
    </row>
    <row r="52" spans="8:9" ht="12.75">
      <c r="H52" s="23"/>
      <c r="I52" s="23"/>
    </row>
    <row r="53" spans="8:9" ht="12.75">
      <c r="H53" s="23"/>
      <c r="I53" s="23"/>
    </row>
    <row r="54" spans="8:9" ht="12.75">
      <c r="H54" s="23"/>
      <c r="I54" s="23"/>
    </row>
    <row r="55" spans="8:9" ht="12.75">
      <c r="H55" s="23"/>
      <c r="I55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F199"/>
  <sheetViews>
    <sheetView zoomScale="77" zoomScaleNormal="77" workbookViewId="0" topLeftCell="A145">
      <selection activeCell="E193" sqref="E193"/>
    </sheetView>
  </sheetViews>
  <sheetFormatPr defaultColWidth="9.140625" defaultRowHeight="12.75"/>
  <cols>
    <col min="1" max="1" width="13.00390625" style="0" customWidth="1"/>
    <col min="2" max="2" width="14.421875" style="0" bestFit="1" customWidth="1"/>
    <col min="3" max="3" width="16.28125" style="0" bestFit="1" customWidth="1"/>
    <col min="4" max="4" width="14.28125" style="0" customWidth="1"/>
    <col min="5" max="5" width="16.421875" style="0" customWidth="1"/>
    <col min="6" max="6" width="14.421875" style="0" bestFit="1" customWidth="1"/>
    <col min="7" max="7" width="13.57421875" style="0" customWidth="1"/>
    <col min="8" max="8" width="14.421875" style="0" customWidth="1"/>
    <col min="9" max="9" width="14.421875" style="0" bestFit="1" customWidth="1"/>
    <col min="10" max="10" width="11.00390625" style="0" customWidth="1"/>
    <col min="11" max="11" width="15.00390625" style="0" customWidth="1"/>
    <col min="12" max="12" width="14.421875" style="0" bestFit="1" customWidth="1"/>
    <col min="13" max="13" width="13.7109375" style="0" customWidth="1"/>
    <col min="14" max="14" width="9.28125" style="0" bestFit="1" customWidth="1"/>
    <col min="15" max="15" width="16.140625" style="0" bestFit="1" customWidth="1"/>
    <col min="16" max="16" width="11.00390625" style="0" customWidth="1"/>
    <col min="17" max="17" width="13.140625" style="0" bestFit="1" customWidth="1"/>
  </cols>
  <sheetData>
    <row r="1" ht="12.75">
      <c r="A1" s="11" t="s">
        <v>63</v>
      </c>
    </row>
    <row r="2" spans="1:3" ht="12.75">
      <c r="A2" s="15" t="s">
        <v>64</v>
      </c>
      <c r="B2">
        <f>313*10^5</f>
        <v>31300000</v>
      </c>
      <c r="C2" t="s">
        <v>29</v>
      </c>
    </row>
    <row r="3" spans="1:3" ht="12.75">
      <c r="A3" s="15" t="s">
        <v>72</v>
      </c>
      <c r="B3">
        <v>0.196</v>
      </c>
      <c r="C3" t="s">
        <v>17</v>
      </c>
    </row>
    <row r="4" spans="1:14" ht="13.5" thickBot="1">
      <c r="A4" s="15" t="s">
        <v>73</v>
      </c>
      <c r="B4">
        <v>0.1778</v>
      </c>
      <c r="C4" t="s">
        <v>17</v>
      </c>
      <c r="E4" s="8"/>
      <c r="F4" s="35" t="s">
        <v>91</v>
      </c>
      <c r="G4" s="36"/>
      <c r="H4" s="36"/>
      <c r="I4" s="35" t="s">
        <v>92</v>
      </c>
      <c r="J4" s="35"/>
      <c r="K4" s="35"/>
      <c r="L4" s="35" t="s">
        <v>93</v>
      </c>
      <c r="M4" s="35"/>
      <c r="N4" s="5"/>
    </row>
    <row r="5" spans="1:14" ht="12.75">
      <c r="A5" s="15" t="s">
        <v>74</v>
      </c>
      <c r="B5">
        <f>PI()/4*(B3^2-B4^2)</f>
        <v>0.005343189369298986</v>
      </c>
      <c r="C5" t="s">
        <v>24</v>
      </c>
      <c r="E5" s="31" t="s">
        <v>76</v>
      </c>
      <c r="F5" s="34">
        <v>20</v>
      </c>
      <c r="G5" s="4" t="s">
        <v>98</v>
      </c>
      <c r="H5" s="31" t="s">
        <v>76</v>
      </c>
      <c r="I5" s="34">
        <v>18</v>
      </c>
      <c r="J5" s="4" t="s">
        <v>98</v>
      </c>
      <c r="K5" s="31" t="s">
        <v>76</v>
      </c>
      <c r="L5" s="34">
        <v>20</v>
      </c>
      <c r="M5" s="4" t="s">
        <v>98</v>
      </c>
      <c r="N5" s="5"/>
    </row>
    <row r="6" spans="1:14" ht="13.5" thickBot="1">
      <c r="A6" s="15" t="s">
        <v>75</v>
      </c>
      <c r="B6">
        <f>PI()*B3*7.4</f>
        <v>4.556565984766636</v>
      </c>
      <c r="C6" t="s">
        <v>24</v>
      </c>
      <c r="E6" s="32" t="s">
        <v>79</v>
      </c>
      <c r="F6" s="33">
        <v>11</v>
      </c>
      <c r="G6" s="9" t="s">
        <v>35</v>
      </c>
      <c r="H6" s="32" t="s">
        <v>79</v>
      </c>
      <c r="I6" s="33">
        <v>5</v>
      </c>
      <c r="J6" s="9" t="s">
        <v>35</v>
      </c>
      <c r="K6" s="32" t="s">
        <v>79</v>
      </c>
      <c r="L6" s="33">
        <v>4</v>
      </c>
      <c r="M6" s="9" t="s">
        <v>35</v>
      </c>
      <c r="N6" s="5"/>
    </row>
    <row r="7" spans="1:14" ht="13.5" thickBot="1">
      <c r="A7" s="27" t="s">
        <v>118</v>
      </c>
      <c r="B7">
        <f>0.407</f>
        <v>0.407</v>
      </c>
      <c r="C7" t="s">
        <v>24</v>
      </c>
      <c r="N7" s="5"/>
    </row>
    <row r="8" spans="1:13" ht="12.75">
      <c r="A8" s="15" t="s">
        <v>45</v>
      </c>
      <c r="B8">
        <f>Hull!I4</f>
        <v>0.01016</v>
      </c>
      <c r="C8" t="s">
        <v>17</v>
      </c>
      <c r="E8" s="40" t="s">
        <v>100</v>
      </c>
      <c r="F8" s="34">
        <f>ROUNDUP(F5,0)</f>
        <v>20</v>
      </c>
      <c r="G8" s="4" t="str">
        <f>G5</f>
        <v>stk/seksjon</v>
      </c>
      <c r="H8" s="40" t="str">
        <f>E8</f>
        <v>Reelt # hull</v>
      </c>
      <c r="I8" s="34">
        <f>ROUNDUP(I5,0)</f>
        <v>18</v>
      </c>
      <c r="J8" s="4" t="str">
        <f>J5</f>
        <v>stk/seksjon</v>
      </c>
      <c r="K8" s="40" t="str">
        <f>H8</f>
        <v>Reelt # hull</v>
      </c>
      <c r="L8" s="34">
        <f>ROUNDUP(L5,0)</f>
        <v>20</v>
      </c>
      <c r="M8" s="4" t="str">
        <f>M5</f>
        <v>stk/seksjon</v>
      </c>
    </row>
    <row r="9" spans="1:13" ht="13.5" thickBot="1">
      <c r="A9" s="15" t="s">
        <v>86</v>
      </c>
      <c r="B9" s="25">
        <v>7.4</v>
      </c>
      <c r="C9" t="s">
        <v>17</v>
      </c>
      <c r="E9" s="7" t="s">
        <v>101</v>
      </c>
      <c r="F9" s="33">
        <f>ROUNDUP(F6,0)</f>
        <v>11</v>
      </c>
      <c r="G9" s="9" t="str">
        <f>G6</f>
        <v>stk</v>
      </c>
      <c r="H9" s="7" t="str">
        <f>E9</f>
        <v>Reelt # skjermer</v>
      </c>
      <c r="I9" s="33">
        <f>ROUNDUP(I6,0)</f>
        <v>5</v>
      </c>
      <c r="J9" s="9" t="str">
        <f>J6</f>
        <v>stk</v>
      </c>
      <c r="K9" s="7" t="str">
        <f>H9</f>
        <v>Reelt # skjermer</v>
      </c>
      <c r="L9" s="33">
        <f>ROUNDUP(L6,0)</f>
        <v>4</v>
      </c>
      <c r="M9" s="9" t="str">
        <f>M6</f>
        <v>stk</v>
      </c>
    </row>
    <row r="10" spans="1:3" ht="13.5" thickBot="1">
      <c r="A10" s="27" t="s">
        <v>94</v>
      </c>
      <c r="B10" s="25">
        <f>Formasjon!B29</f>
        <v>22245360</v>
      </c>
      <c r="C10" t="s">
        <v>29</v>
      </c>
    </row>
    <row r="11" spans="1:13" ht="12.75">
      <c r="A11" t="s">
        <v>81</v>
      </c>
      <c r="B11" s="20" t="s">
        <v>82</v>
      </c>
      <c r="E11" s="40" t="s">
        <v>114</v>
      </c>
      <c r="F11" s="57" t="str">
        <f>IF(F9*(12.5)&gt;Formasjon!B7,"TO LONG",12.5*F9)</f>
        <v>TO LONG</v>
      </c>
      <c r="G11" s="4" t="s">
        <v>17</v>
      </c>
      <c r="H11" s="40" t="s">
        <v>114</v>
      </c>
      <c r="I11" s="57">
        <f>I9*12.5</f>
        <v>62.5</v>
      </c>
      <c r="J11" s="4" t="s">
        <v>17</v>
      </c>
      <c r="K11" s="3" t="s">
        <v>114</v>
      </c>
      <c r="L11" s="57">
        <f>L9*12.5</f>
        <v>50</v>
      </c>
      <c r="M11" s="4" t="s">
        <v>17</v>
      </c>
    </row>
    <row r="12" spans="1:13" ht="12.75">
      <c r="A12" t="s">
        <v>83</v>
      </c>
      <c r="B12" s="20" t="s">
        <v>84</v>
      </c>
      <c r="E12" s="72" t="s">
        <v>38</v>
      </c>
      <c r="F12" s="46">
        <f>2*PI()*Formasjon!$B$16*Formasjon!$B$7/(Formasjon!B19*LN(Formasjon!B31/Formasjon!B30))/F9</f>
        <v>1.1569447171972793E-08</v>
      </c>
      <c r="G12" s="6"/>
      <c r="H12" s="72" t="s">
        <v>38</v>
      </c>
      <c r="I12" s="46">
        <f>2*PI()*Formasjon!C16*Formasjon!C7/(Formasjon!C19*LN(Formasjon!B31/Formasjon!B30))/I9</f>
        <v>4.838394881151695E-08</v>
      </c>
      <c r="J12" s="6"/>
      <c r="K12" s="5" t="s">
        <v>38</v>
      </c>
      <c r="L12" s="46">
        <f>2*PI()*Formasjon!D16*Formasjon!D7/(Formasjon!D19*LN(Formasjon!B31/Formasjon!B30))/L9</f>
        <v>4.254583067971078E-08</v>
      </c>
      <c r="M12" s="6"/>
    </row>
    <row r="13" spans="1:13" ht="12.75">
      <c r="A13" s="15" t="s">
        <v>113</v>
      </c>
      <c r="B13" s="5">
        <f>2*(B3-B4)</f>
        <v>0.03639999999999999</v>
      </c>
      <c r="E13" s="72" t="s">
        <v>115</v>
      </c>
      <c r="F13" s="46">
        <f>2/Formasjon!B20*(B14*2/3*B9)^2</f>
        <v>0.0005628275104498732</v>
      </c>
      <c r="G13" s="6"/>
      <c r="H13" s="72" t="s">
        <v>115</v>
      </c>
      <c r="I13" s="46">
        <f>F13</f>
        <v>0.0005628275104498732</v>
      </c>
      <c r="J13" s="6"/>
      <c r="K13" s="5" t="s">
        <v>115</v>
      </c>
      <c r="L13" s="46">
        <f>I13</f>
        <v>0.0005628275104498732</v>
      </c>
      <c r="M13" s="6"/>
    </row>
    <row r="14" spans="1:13" ht="12.75">
      <c r="A14" s="15" t="s">
        <v>116</v>
      </c>
      <c r="B14" s="5">
        <f>B7/B6</f>
        <v>0.08932165173524738</v>
      </c>
      <c r="E14" s="72" t="s">
        <v>108</v>
      </c>
      <c r="F14" s="46">
        <f>2/Formasjon!B20*(2/3*1.5)^2</f>
        <v>0.002898550724637681</v>
      </c>
      <c r="G14" s="6"/>
      <c r="H14" s="72" t="s">
        <v>108</v>
      </c>
      <c r="I14" s="46">
        <f>F14</f>
        <v>0.002898550724637681</v>
      </c>
      <c r="J14" s="6"/>
      <c r="K14" s="5" t="s">
        <v>108</v>
      </c>
      <c r="L14" s="46">
        <f>I14</f>
        <v>0.002898550724637681</v>
      </c>
      <c r="M14" s="6"/>
    </row>
    <row r="15" spans="1:13" ht="13.5" thickBot="1">
      <c r="A15" s="15" t="s">
        <v>110</v>
      </c>
      <c r="B15" s="5">
        <f>PI()*B4*1.5</f>
        <v>0.8378627607123978</v>
      </c>
      <c r="C15" t="s">
        <v>24</v>
      </c>
      <c r="E15" s="7" t="s">
        <v>117</v>
      </c>
      <c r="F15" s="36">
        <f>F8*B16/B15</f>
        <v>0.0019352380952380956</v>
      </c>
      <c r="G15" s="9"/>
      <c r="H15" s="7" t="str">
        <f>E15</f>
        <v>Phi 2</v>
      </c>
      <c r="I15" s="36">
        <f>I8*B16/B15</f>
        <v>0.001741714285714286</v>
      </c>
      <c r="J15" s="9"/>
      <c r="K15" s="8" t="str">
        <f>H15</f>
        <v>Phi 2</v>
      </c>
      <c r="L15" s="36">
        <f>L8*B16/B15</f>
        <v>0.0019352380952380956</v>
      </c>
      <c r="M15" s="9"/>
    </row>
    <row r="16" spans="1:3" ht="12.75">
      <c r="A16" s="15" t="s">
        <v>111</v>
      </c>
      <c r="B16" s="5">
        <f>PI()*Hull!I5^2</f>
        <v>8.107319665559966E-05</v>
      </c>
      <c r="C16" t="s">
        <v>24</v>
      </c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spans="1:17" ht="27" thickBot="1">
      <c r="A21" s="8"/>
      <c r="B21" s="8"/>
      <c r="C21" s="8"/>
      <c r="D21" s="8"/>
      <c r="E21" s="8"/>
      <c r="F21" s="8"/>
      <c r="G21" s="28" t="s">
        <v>91</v>
      </c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32" ht="12.75">
      <c r="A22" s="41" t="s">
        <v>119</v>
      </c>
      <c r="B22" s="29" t="s">
        <v>65</v>
      </c>
      <c r="C22" s="29" t="s">
        <v>103</v>
      </c>
      <c r="D22" s="29" t="s">
        <v>77</v>
      </c>
      <c r="E22" s="29" t="s">
        <v>85</v>
      </c>
      <c r="F22" s="70" t="s">
        <v>66</v>
      </c>
      <c r="G22" s="29"/>
      <c r="H22" s="29" t="s">
        <v>67</v>
      </c>
      <c r="I22" s="29" t="str">
        <f>H22</f>
        <v>DP-dyser</v>
      </c>
      <c r="J22" s="29" t="s">
        <v>88</v>
      </c>
      <c r="K22" s="29" t="s">
        <v>89</v>
      </c>
      <c r="L22" s="29" t="s">
        <v>25</v>
      </c>
      <c r="M22" s="29" t="s">
        <v>95</v>
      </c>
      <c r="N22" s="29" t="s">
        <v>26</v>
      </c>
      <c r="O22" s="71" t="s">
        <v>78</v>
      </c>
      <c r="P22" s="29"/>
      <c r="Q22" s="42" t="s">
        <v>50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3.5" thickBot="1">
      <c r="A23" s="43" t="s">
        <v>70</v>
      </c>
      <c r="B23" s="13" t="s">
        <v>69</v>
      </c>
      <c r="C23" s="13" t="str">
        <f>B23</f>
        <v>[m/s]</v>
      </c>
      <c r="D23" s="13"/>
      <c r="E23" s="13"/>
      <c r="F23" s="13" t="s">
        <v>70</v>
      </c>
      <c r="G23" s="13" t="s">
        <v>87</v>
      </c>
      <c r="H23" s="13" t="s">
        <v>70</v>
      </c>
      <c r="I23" s="13" t="s">
        <v>80</v>
      </c>
      <c r="J23" s="13" t="s">
        <v>87</v>
      </c>
      <c r="K23" s="13" t="str">
        <f>J23</f>
        <v>[bar]</v>
      </c>
      <c r="L23" s="13" t="s">
        <v>70</v>
      </c>
      <c r="M23" s="13" t="s">
        <v>96</v>
      </c>
      <c r="N23" s="13" t="s">
        <v>71</v>
      </c>
      <c r="O23" s="13" t="s">
        <v>70</v>
      </c>
      <c r="P23" s="13" t="s">
        <v>80</v>
      </c>
      <c r="Q23" s="44" t="s">
        <v>90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24" ht="12.75">
      <c r="A24" s="45">
        <v>0</v>
      </c>
      <c r="B24" s="46">
        <f>N24/($B$5*$F$6)</f>
        <v>67.77294822516428</v>
      </c>
      <c r="C24" s="46">
        <f aca="true" t="shared" si="0" ref="C24:C61">N24/(PI()/4*($F$5*$F$6*$B$8^2))</f>
        <v>223.33132984817175</v>
      </c>
      <c r="D24" s="46">
        <f>690*B24*$B$13/Formasjon!$B$19</f>
        <v>3546219.5158817205</v>
      </c>
      <c r="E24" s="47">
        <f aca="true" t="shared" si="1" ref="E24:E60">IF(D24&gt;2300,fturb(D24),flam(D24))</f>
        <v>0.003061497588109713</v>
      </c>
      <c r="F24" s="48">
        <f>E24*$B$9/$B$13*690/2*B24^2</f>
        <v>986270.651082986</v>
      </c>
      <c r="G24" s="49">
        <f>F24/10^5</f>
        <v>9.86270651082986</v>
      </c>
      <c r="H24" s="46">
        <f>0.5*690*C24^2*$F$5</f>
        <v>344150491.9530949</v>
      </c>
      <c r="I24" s="46">
        <f>H24/10^5</f>
        <v>3441.504919530949</v>
      </c>
      <c r="J24" s="49">
        <f>I24+G24</f>
        <v>3451.3676260417787</v>
      </c>
      <c r="K24" s="49">
        <f>J24*$F$6</f>
        <v>37965.04388645956</v>
      </c>
      <c r="L24" s="48">
        <f>$B$2-($B$2-A24)-F24-H24</f>
        <v>-345136762.6041779</v>
      </c>
      <c r="M24" s="46" t="str">
        <f aca="true" t="shared" si="2" ref="M24:M61">IF(L24&gt;D162,"OK","NOT OK")</f>
        <v>NOT OK</v>
      </c>
      <c r="N24" s="49">
        <f>2*PI()*Formasjon!$B$7*Formasjon!$B$16*(Iterasjon!$B$2-Iterasjon!A24)/(Formasjon!$B$19*LN(Formasjon!$B$31/Formasjon!$B$30))</f>
        <v>3.9833606613102326</v>
      </c>
      <c r="O24" s="49">
        <f>$B$2-L24</f>
        <v>376436762.6041779</v>
      </c>
      <c r="P24" s="49">
        <f>O24/10^5</f>
        <v>3764.3676260417787</v>
      </c>
      <c r="Q24" s="6">
        <f>N24/P24</f>
        <v>0.0010581752520007523</v>
      </c>
      <c r="X24" s="22"/>
    </row>
    <row r="25" spans="1:24" ht="12.75">
      <c r="A25" s="45">
        <f>A24+10*10^5</f>
        <v>1000000</v>
      </c>
      <c r="B25" s="46">
        <f aca="true" t="shared" si="3" ref="B25:B61">N25/($B$5*$F$6)</f>
        <v>65.6076783138172</v>
      </c>
      <c r="C25" s="46">
        <f t="shared" si="0"/>
        <v>216.1961435910417</v>
      </c>
      <c r="D25" s="46">
        <f>690*B25*$B$13/Formasjon!$B$19</f>
        <v>3432921.7677704846</v>
      </c>
      <c r="E25" s="47">
        <f t="shared" si="1"/>
        <v>0.0030623954425918645</v>
      </c>
      <c r="F25" s="48">
        <f aca="true" t="shared" si="4" ref="F25:F61">E25*$B$9/$B$13*690/2*B25^2</f>
        <v>924527.9388283312</v>
      </c>
      <c r="G25" s="49">
        <f aca="true" t="shared" si="5" ref="G25:G61">F25/10^5</f>
        <v>9.245279388283311</v>
      </c>
      <c r="H25" s="46">
        <f aca="true" t="shared" si="6" ref="H25:H61">0.5*690*C25^2*$F$5</f>
        <v>322511330.2751044</v>
      </c>
      <c r="I25" s="46">
        <f aca="true" t="shared" si="7" ref="I25:I61">H25/10^5</f>
        <v>3225.113302751044</v>
      </c>
      <c r="J25" s="49">
        <f aca="true" t="shared" si="8" ref="J25:J61">I25+G25</f>
        <v>3234.3585821393276</v>
      </c>
      <c r="K25" s="49">
        <f aca="true" t="shared" si="9" ref="K25:K61">J25*$F$6</f>
        <v>35577.9444035326</v>
      </c>
      <c r="L25" s="48">
        <f aca="true" t="shared" si="10" ref="L25:L61">$B$2-($B$2-A25)-F25-H25</f>
        <v>-322435858.21393275</v>
      </c>
      <c r="M25" s="46" t="str">
        <f t="shared" si="2"/>
        <v>NOT OK</v>
      </c>
      <c r="N25" s="49">
        <f>2*PI()*Formasjon!$B$7*Formasjon!$B$16*(Iterasjon!$B$2-Iterasjon!A25)/(Formasjon!$B$19*LN(Formasjon!$B$31/Formasjon!$B$30))</f>
        <v>3.8560967424185324</v>
      </c>
      <c r="O25" s="49">
        <f aca="true" t="shared" si="11" ref="O25:O61">$B$2-L25</f>
        <v>353735858.21393275</v>
      </c>
      <c r="P25" s="49">
        <f aca="true" t="shared" si="12" ref="P25:P61">O25/10^5</f>
        <v>3537.3585821393276</v>
      </c>
      <c r="Q25" s="6">
        <f aca="true" t="shared" si="13" ref="Q25:Q60">N25/P25</f>
        <v>0.0010901062623078597</v>
      </c>
      <c r="X25" s="22"/>
    </row>
    <row r="26" spans="1:24" ht="12.75">
      <c r="A26" s="45">
        <f aca="true" t="shared" si="14" ref="A26:A55">A25+10*10^5</f>
        <v>2000000</v>
      </c>
      <c r="B26" s="46">
        <f t="shared" si="3"/>
        <v>63.44240840247009</v>
      </c>
      <c r="C26" s="46">
        <f t="shared" si="0"/>
        <v>209.0609573339116</v>
      </c>
      <c r="D26" s="46">
        <f>690*B26*$B$13/Formasjon!$B$19</f>
        <v>3319624.019659247</v>
      </c>
      <c r="E26" s="47">
        <f t="shared" si="1"/>
        <v>0.003063353561672898</v>
      </c>
      <c r="F26" s="48">
        <f t="shared" si="4"/>
        <v>864780.4803823355</v>
      </c>
      <c r="G26" s="49">
        <f t="shared" si="5"/>
        <v>8.647804803823355</v>
      </c>
      <c r="H26" s="46">
        <f t="shared" si="6"/>
        <v>301574738.78146404</v>
      </c>
      <c r="I26" s="46">
        <f t="shared" si="7"/>
        <v>3015.74738781464</v>
      </c>
      <c r="J26" s="49">
        <f t="shared" si="8"/>
        <v>3024.3951926184636</v>
      </c>
      <c r="K26" s="49">
        <f t="shared" si="9"/>
        <v>33268.347118803096</v>
      </c>
      <c r="L26" s="48">
        <f t="shared" si="10"/>
        <v>-300439519.26184636</v>
      </c>
      <c r="M26" s="46" t="str">
        <f t="shared" si="2"/>
        <v>NOT OK</v>
      </c>
      <c r="N26" s="49">
        <f>2*PI()*Formasjon!$B$7*Formasjon!$B$16*(Iterasjon!$B$2-Iterasjon!A26)/(Formasjon!$B$19*LN(Formasjon!$B$31/Formasjon!$B$30))</f>
        <v>3.7288328235268318</v>
      </c>
      <c r="O26" s="49">
        <f t="shared" si="11"/>
        <v>331739519.26184636</v>
      </c>
      <c r="P26" s="49">
        <f t="shared" si="12"/>
        <v>3317.3951926184636</v>
      </c>
      <c r="Q26" s="6">
        <f t="shared" si="13"/>
        <v>0.0011240243043167898</v>
      </c>
      <c r="X26" s="22"/>
    </row>
    <row r="27" spans="1:24" ht="12.75">
      <c r="A27" s="45">
        <f t="shared" si="14"/>
        <v>3000000</v>
      </c>
      <c r="B27" s="46">
        <f t="shared" si="3"/>
        <v>61.277138491123</v>
      </c>
      <c r="C27" s="46">
        <f t="shared" si="0"/>
        <v>201.92577107678153</v>
      </c>
      <c r="D27" s="46">
        <f>690*B27*$B$13/Formasjon!$B$19</f>
        <v>3206326.27154801</v>
      </c>
      <c r="E27" s="47">
        <f t="shared" si="1"/>
        <v>0.003064378224822798</v>
      </c>
      <c r="F27" s="48">
        <f t="shared" si="4"/>
        <v>807028.2765897426</v>
      </c>
      <c r="G27" s="49">
        <f t="shared" si="5"/>
        <v>8.070282765897426</v>
      </c>
      <c r="H27" s="46">
        <f t="shared" si="6"/>
        <v>281340717.47217417</v>
      </c>
      <c r="I27" s="46">
        <f t="shared" si="7"/>
        <v>2813.4071747217417</v>
      </c>
      <c r="J27" s="49">
        <f t="shared" si="8"/>
        <v>2821.477457487639</v>
      </c>
      <c r="K27" s="49">
        <f t="shared" si="9"/>
        <v>31036.25203236403</v>
      </c>
      <c r="L27" s="48">
        <f t="shared" si="10"/>
        <v>-279147745.7487639</v>
      </c>
      <c r="M27" s="46" t="str">
        <f t="shared" si="2"/>
        <v>NOT OK</v>
      </c>
      <c r="N27" s="49">
        <f>2*PI()*Formasjon!$B$7*Formasjon!$B$16*(Iterasjon!$B$2-Iterasjon!A27)/(Formasjon!$B$19*LN(Formasjon!$B$31/Formasjon!$B$30))</f>
        <v>3.601568904635131</v>
      </c>
      <c r="O27" s="49">
        <f t="shared" si="11"/>
        <v>310447745.7487639</v>
      </c>
      <c r="P27" s="49">
        <f t="shared" si="12"/>
        <v>3104.477457487639</v>
      </c>
      <c r="Q27" s="6">
        <f t="shared" si="13"/>
        <v>0.0011601208106531956</v>
      </c>
      <c r="X27" s="22"/>
    </row>
    <row r="28" spans="1:24" ht="12.75">
      <c r="A28" s="45">
        <f t="shared" si="14"/>
        <v>4000000</v>
      </c>
      <c r="B28" s="46">
        <f t="shared" si="3"/>
        <v>59.11186857977589</v>
      </c>
      <c r="C28" s="46">
        <f t="shared" si="0"/>
        <v>194.79058481965143</v>
      </c>
      <c r="D28" s="46">
        <f>690*B28*$B$13/Formasjon!$B$19</f>
        <v>3093028.5234367726</v>
      </c>
      <c r="E28" s="47">
        <f t="shared" si="1"/>
        <v>0.00306547661551153</v>
      </c>
      <c r="F28" s="48">
        <f t="shared" si="4"/>
        <v>751271.3284147285</v>
      </c>
      <c r="G28" s="49">
        <f t="shared" si="5"/>
        <v>7.512713284147285</v>
      </c>
      <c r="H28" s="46">
        <f t="shared" si="6"/>
        <v>261809266.34723452</v>
      </c>
      <c r="I28" s="46">
        <f t="shared" si="7"/>
        <v>2618.092663472345</v>
      </c>
      <c r="J28" s="49">
        <f t="shared" si="8"/>
        <v>2625.605376756492</v>
      </c>
      <c r="K28" s="49">
        <f t="shared" si="9"/>
        <v>28881.659144321413</v>
      </c>
      <c r="L28" s="48">
        <f t="shared" si="10"/>
        <v>-258560537.67564926</v>
      </c>
      <c r="M28" s="46" t="str">
        <f t="shared" si="2"/>
        <v>NOT OK</v>
      </c>
      <c r="N28" s="49">
        <f>2*PI()*Formasjon!$B$7*Formasjon!$B$16*(Iterasjon!$B$2-Iterasjon!A28)/(Formasjon!$B$19*LN(Formasjon!$B$31/Formasjon!$B$30))</f>
        <v>3.47430498574343</v>
      </c>
      <c r="O28" s="49">
        <f t="shared" si="11"/>
        <v>289860537.6756493</v>
      </c>
      <c r="P28" s="49">
        <f t="shared" si="12"/>
        <v>2898.6053767564927</v>
      </c>
      <c r="Q28" s="6">
        <f t="shared" si="13"/>
        <v>0.001198612620263314</v>
      </c>
      <c r="X28" s="22"/>
    </row>
    <row r="29" spans="1:24" ht="12.75">
      <c r="A29" s="45">
        <f t="shared" si="14"/>
        <v>5000000</v>
      </c>
      <c r="B29" s="46">
        <f t="shared" si="3"/>
        <v>56.946598668428784</v>
      </c>
      <c r="C29" s="46">
        <f t="shared" si="0"/>
        <v>187.65539856252133</v>
      </c>
      <c r="D29" s="46">
        <f>690*B29*$B$13/Formasjon!$B$19</f>
        <v>2979730.7753255353</v>
      </c>
      <c r="E29" s="47">
        <f t="shared" si="1"/>
        <v>0.0030666569899972834</v>
      </c>
      <c r="F29" s="48">
        <f t="shared" si="4"/>
        <v>697509.6369627871</v>
      </c>
      <c r="G29" s="49">
        <f t="shared" si="5"/>
        <v>6.975096369627871</v>
      </c>
      <c r="H29" s="46">
        <f t="shared" si="6"/>
        <v>242980385.40664527</v>
      </c>
      <c r="I29" s="46">
        <f t="shared" si="7"/>
        <v>2429.8038540664525</v>
      </c>
      <c r="J29" s="49">
        <f t="shared" si="8"/>
        <v>2436.7789504360803</v>
      </c>
      <c r="K29" s="49">
        <f t="shared" si="9"/>
        <v>26804.568454796885</v>
      </c>
      <c r="L29" s="48">
        <f t="shared" si="10"/>
        <v>-238677895.04360807</v>
      </c>
      <c r="M29" s="46" t="str">
        <f t="shared" si="2"/>
        <v>NOT OK</v>
      </c>
      <c r="N29" s="49">
        <f>2*PI()*Formasjon!$B$7*Formasjon!$B$16*(Iterasjon!$B$2-Iterasjon!A29)/(Formasjon!$B$19*LN(Formasjon!$B$31/Formasjon!$B$30))</f>
        <v>3.3470410668517294</v>
      </c>
      <c r="O29" s="49">
        <f t="shared" si="11"/>
        <v>269977895.04360807</v>
      </c>
      <c r="P29" s="49">
        <f t="shared" si="12"/>
        <v>2699.778950436081</v>
      </c>
      <c r="Q29" s="6">
        <f t="shared" si="13"/>
        <v>0.001239746337866328</v>
      </c>
      <c r="X29" s="22"/>
    </row>
    <row r="30" spans="1:24" ht="12.75">
      <c r="A30" s="45">
        <f t="shared" si="14"/>
        <v>6000000</v>
      </c>
      <c r="B30" s="46">
        <f t="shared" si="3"/>
        <v>54.78132875708169</v>
      </c>
      <c r="C30" s="46">
        <f t="shared" si="0"/>
        <v>180.52021230539125</v>
      </c>
      <c r="D30" s="46">
        <f>690*B30*$B$13/Formasjon!$B$19</f>
        <v>2866433.0272142985</v>
      </c>
      <c r="E30" s="47">
        <f t="shared" si="1"/>
        <v>0.003067928885409255</v>
      </c>
      <c r="F30" s="48">
        <f t="shared" si="4"/>
        <v>645743.2035076085</v>
      </c>
      <c r="G30" s="49">
        <f t="shared" si="5"/>
        <v>6.457432035076085</v>
      </c>
      <c r="H30" s="46">
        <f t="shared" si="6"/>
        <v>224854074.65040636</v>
      </c>
      <c r="I30" s="46">
        <f t="shared" si="7"/>
        <v>2248.5407465040635</v>
      </c>
      <c r="J30" s="49">
        <f t="shared" si="8"/>
        <v>2254.9981785391396</v>
      </c>
      <c r="K30" s="49">
        <f t="shared" si="9"/>
        <v>24804.979963930535</v>
      </c>
      <c r="L30" s="48">
        <f t="shared" si="10"/>
        <v>-219499817.85391396</v>
      </c>
      <c r="M30" s="46" t="str">
        <f t="shared" si="2"/>
        <v>NOT OK</v>
      </c>
      <c r="N30" s="49">
        <f>2*PI()*Formasjon!$B$7*Formasjon!$B$16*(Iterasjon!$B$2-Iterasjon!A30)/(Formasjon!$B$19*LN(Formasjon!$B$31/Formasjon!$B$30))</f>
        <v>3.219777147960029</v>
      </c>
      <c r="O30" s="49">
        <f t="shared" si="11"/>
        <v>250799817.85391396</v>
      </c>
      <c r="P30" s="49">
        <f t="shared" si="12"/>
        <v>2507.9981785391396</v>
      </c>
      <c r="Q30" s="6">
        <f t="shared" si="13"/>
        <v>0.001283803622949793</v>
      </c>
      <c r="X30" s="22"/>
    </row>
    <row r="31" spans="1:24" ht="12.75">
      <c r="A31" s="45">
        <f t="shared" si="14"/>
        <v>7000000</v>
      </c>
      <c r="B31" s="46">
        <f t="shared" si="3"/>
        <v>52.61605884573458</v>
      </c>
      <c r="C31" s="46">
        <f t="shared" si="0"/>
        <v>173.38502604826115</v>
      </c>
      <c r="D31" s="46">
        <f>690*B31*$B$13/Formasjon!$B$19</f>
        <v>2753135.279103061</v>
      </c>
      <c r="E31" s="47">
        <f t="shared" si="1"/>
        <v>0.0030693033782312577</v>
      </c>
      <c r="F31" s="48">
        <f t="shared" si="4"/>
        <v>595972.0295243367</v>
      </c>
      <c r="G31" s="49">
        <f t="shared" si="5"/>
        <v>5.9597202952433666</v>
      </c>
      <c r="H31" s="46">
        <f t="shared" si="6"/>
        <v>207430334.0785178</v>
      </c>
      <c r="I31" s="46">
        <f t="shared" si="7"/>
        <v>2074.303340785178</v>
      </c>
      <c r="J31" s="49">
        <f t="shared" si="8"/>
        <v>2080.2630610804213</v>
      </c>
      <c r="K31" s="49">
        <f t="shared" si="9"/>
        <v>22882.893671884634</v>
      </c>
      <c r="L31" s="48">
        <f t="shared" si="10"/>
        <v>-201026306.10804212</v>
      </c>
      <c r="M31" s="46" t="str">
        <f t="shared" si="2"/>
        <v>NOT OK</v>
      </c>
      <c r="N31" s="49">
        <f>2*PI()*Formasjon!$B$7*Formasjon!$B$16*(Iterasjon!$B$2-Iterasjon!A31)/(Formasjon!$B$19*LN(Formasjon!$B$31/Formasjon!$B$30))</f>
        <v>3.0925132290683277</v>
      </c>
      <c r="O31" s="49">
        <f t="shared" si="11"/>
        <v>232326306.10804212</v>
      </c>
      <c r="P31" s="49">
        <f t="shared" si="12"/>
        <v>2323.2630610804213</v>
      </c>
      <c r="Q31" s="6">
        <f t="shared" si="13"/>
        <v>0.0013311076480638274</v>
      </c>
      <c r="X31" s="22"/>
    </row>
    <row r="32" spans="1:24" ht="12.75">
      <c r="A32" s="45">
        <f t="shared" si="14"/>
        <v>8000000</v>
      </c>
      <c r="B32" s="46">
        <f t="shared" si="3"/>
        <v>50.45078893438748</v>
      </c>
      <c r="C32" s="46">
        <f t="shared" si="0"/>
        <v>166.24983979113105</v>
      </c>
      <c r="D32" s="46">
        <f>690*B32*$B$13/Formasjon!$B$19</f>
        <v>2639837.5309918243</v>
      </c>
      <c r="E32" s="47">
        <f t="shared" si="1"/>
        <v>0.0030707934080320205</v>
      </c>
      <c r="F32" s="48">
        <f t="shared" si="4"/>
        <v>548196.1167310474</v>
      </c>
      <c r="G32" s="49">
        <f t="shared" si="5"/>
        <v>5.481961167310474</v>
      </c>
      <c r="H32" s="46">
        <f t="shared" si="6"/>
        <v>190709163.6909795</v>
      </c>
      <c r="I32" s="46">
        <f t="shared" si="7"/>
        <v>1907.0916369097952</v>
      </c>
      <c r="J32" s="49">
        <f t="shared" si="8"/>
        <v>1912.5735980771055</v>
      </c>
      <c r="K32" s="49">
        <f t="shared" si="9"/>
        <v>21038.309578848162</v>
      </c>
      <c r="L32" s="48">
        <f t="shared" si="10"/>
        <v>-183257359.80771056</v>
      </c>
      <c r="M32" s="46" t="str">
        <f t="shared" si="2"/>
        <v>NOT OK</v>
      </c>
      <c r="N32" s="49">
        <f>2*PI()*Formasjon!$B$7*Formasjon!$B$16*(Iterasjon!$B$2-Iterasjon!A32)/(Formasjon!$B$19*LN(Formasjon!$B$31/Formasjon!$B$30))</f>
        <v>2.965249310176627</v>
      </c>
      <c r="O32" s="49">
        <f t="shared" si="11"/>
        <v>214557359.80771056</v>
      </c>
      <c r="P32" s="49">
        <f t="shared" si="12"/>
        <v>2145.5735980771055</v>
      </c>
      <c r="Q32" s="6">
        <f t="shared" si="13"/>
        <v>0.001382031039547712</v>
      </c>
      <c r="X32" s="22"/>
    </row>
    <row r="33" spans="1:24" ht="12.75">
      <c r="A33" s="45">
        <f t="shared" si="14"/>
        <v>9000000</v>
      </c>
      <c r="B33" s="46">
        <f t="shared" si="3"/>
        <v>48.28551902304038</v>
      </c>
      <c r="C33" s="46">
        <f t="shared" si="0"/>
        <v>159.11465353400098</v>
      </c>
      <c r="D33" s="46">
        <f>690*B33*$B$13/Formasjon!$B$19</f>
        <v>2526539.782880587</v>
      </c>
      <c r="E33" s="47">
        <f t="shared" si="1"/>
        <v>0.0030724141865068363</v>
      </c>
      <c r="F33" s="48">
        <f t="shared" si="4"/>
        <v>502415.4671409096</v>
      </c>
      <c r="G33" s="49">
        <f t="shared" si="5"/>
        <v>5.024154671409096</v>
      </c>
      <c r="H33" s="46">
        <f t="shared" si="6"/>
        <v>174690563.4877917</v>
      </c>
      <c r="I33" s="46">
        <f t="shared" si="7"/>
        <v>1746.9056348779168</v>
      </c>
      <c r="J33" s="49">
        <f t="shared" si="8"/>
        <v>1751.929789549326</v>
      </c>
      <c r="K33" s="49">
        <f t="shared" si="9"/>
        <v>19271.227685042584</v>
      </c>
      <c r="L33" s="48">
        <f t="shared" si="10"/>
        <v>-166192978.9549326</v>
      </c>
      <c r="M33" s="46" t="str">
        <f t="shared" si="2"/>
        <v>NOT OK</v>
      </c>
      <c r="N33" s="49">
        <f>2*PI()*Formasjon!$B$7*Formasjon!$B$16*(Iterasjon!$B$2-Iterasjon!A33)/(Formasjon!$B$19*LN(Formasjon!$B$31/Formasjon!$B$30))</f>
        <v>2.8379853912849264</v>
      </c>
      <c r="O33" s="49">
        <f t="shared" si="11"/>
        <v>197492978.9549326</v>
      </c>
      <c r="P33" s="49">
        <f t="shared" si="12"/>
        <v>1974.929789549326</v>
      </c>
      <c r="Q33" s="6">
        <f t="shared" si="13"/>
        <v>0.0014370057134702229</v>
      </c>
      <c r="X33" s="22"/>
    </row>
    <row r="34" spans="1:24" ht="12.75">
      <c r="A34" s="45">
        <f t="shared" si="14"/>
        <v>10000000</v>
      </c>
      <c r="B34" s="46">
        <f>N34/($B$5*$F$6)</f>
        <v>46.12024911169327</v>
      </c>
      <c r="C34" s="46">
        <f t="shared" si="0"/>
        <v>151.97946727687088</v>
      </c>
      <c r="D34" s="46">
        <f>690*B34*$B$13/Formasjon!$B$19</f>
        <v>2413242.0347693497</v>
      </c>
      <c r="E34" s="47">
        <f t="shared" si="1"/>
        <v>0.0030741837192734467</v>
      </c>
      <c r="F34" s="48">
        <f t="shared" si="4"/>
        <v>458630.0831283999</v>
      </c>
      <c r="G34" s="49">
        <f t="shared" si="5"/>
        <v>4.5863008312839995</v>
      </c>
      <c r="H34" s="46">
        <f t="shared" si="6"/>
        <v>159374533.46895412</v>
      </c>
      <c r="I34" s="46">
        <f t="shared" si="7"/>
        <v>1593.745334689541</v>
      </c>
      <c r="J34" s="49">
        <f t="shared" si="8"/>
        <v>1598.331635520825</v>
      </c>
      <c r="K34" s="49">
        <f t="shared" si="9"/>
        <v>17581.647990729078</v>
      </c>
      <c r="L34" s="48">
        <f t="shared" si="10"/>
        <v>-149833163.5520825</v>
      </c>
      <c r="M34" s="46" t="str">
        <f t="shared" si="2"/>
        <v>NOT OK</v>
      </c>
      <c r="N34" s="49">
        <f>2*PI()*Formasjon!$B$7*Formasjon!$B$16*(Iterasjon!$B$2-Iterasjon!A34)/(Formasjon!$B$19*LN(Formasjon!$B$31/Formasjon!$B$30))</f>
        <v>2.7107214723932254</v>
      </c>
      <c r="O34" s="49">
        <f t="shared" si="11"/>
        <v>181133163.5520825</v>
      </c>
      <c r="P34" s="49">
        <f t="shared" si="12"/>
        <v>1811.331635520825</v>
      </c>
      <c r="Q34" s="6">
        <f t="shared" si="13"/>
        <v>0.0014965351563651084</v>
      </c>
      <c r="X34" s="22"/>
    </row>
    <row r="35" spans="1:24" ht="12" customHeight="1">
      <c r="A35" s="45">
        <f t="shared" si="14"/>
        <v>11000000</v>
      </c>
      <c r="B35" s="46">
        <f t="shared" si="3"/>
        <v>43.95497920034617</v>
      </c>
      <c r="C35" s="46">
        <f t="shared" si="0"/>
        <v>144.84428101974078</v>
      </c>
      <c r="D35" s="46">
        <f>690*B35*$B$13/Formasjon!$B$19</f>
        <v>2299944.2866581134</v>
      </c>
      <c r="E35" s="47">
        <f t="shared" si="1"/>
        <v>0.003076123478443785</v>
      </c>
      <c r="F35" s="48">
        <f t="shared" si="4"/>
        <v>416839.96751418355</v>
      </c>
      <c r="G35" s="49">
        <f t="shared" si="5"/>
        <v>4.168399675141836</v>
      </c>
      <c r="H35" s="46">
        <f t="shared" si="6"/>
        <v>144761073.6344669</v>
      </c>
      <c r="I35" s="46">
        <f t="shared" si="7"/>
        <v>1447.6107363446688</v>
      </c>
      <c r="J35" s="49">
        <f t="shared" si="8"/>
        <v>1451.7791360198107</v>
      </c>
      <c r="K35" s="49">
        <f t="shared" si="9"/>
        <v>15969.570496217919</v>
      </c>
      <c r="L35" s="48">
        <f t="shared" si="10"/>
        <v>-134177913.60198107</v>
      </c>
      <c r="M35" s="46" t="str">
        <f t="shared" si="2"/>
        <v>NOT OK</v>
      </c>
      <c r="N35" s="49">
        <f>2*PI()*Formasjon!$B$7*Formasjon!$B$16*(Iterasjon!$B$2-Iterasjon!A35)/(Formasjon!$B$19*LN(Formasjon!$B$31/Formasjon!$B$30))</f>
        <v>2.5834575535015247</v>
      </c>
      <c r="O35" s="49">
        <f t="shared" si="11"/>
        <v>165477913.60198107</v>
      </c>
      <c r="P35" s="49">
        <f t="shared" si="12"/>
        <v>1654.7791360198107</v>
      </c>
      <c r="Q35" s="6">
        <f t="shared" si="13"/>
        <v>0.001561209890351552</v>
      </c>
      <c r="X35" s="22"/>
    </row>
    <row r="36" spans="1:24" ht="12.75">
      <c r="A36" s="45">
        <f t="shared" si="14"/>
        <v>12000000</v>
      </c>
      <c r="B36" s="46">
        <f t="shared" si="3"/>
        <v>41.78970928899907</v>
      </c>
      <c r="C36" s="46">
        <f t="shared" si="0"/>
        <v>137.7090947626107</v>
      </c>
      <c r="D36" s="46">
        <f>690*B36*$B$13/Formasjon!$B$19</f>
        <v>2186646.538546876</v>
      </c>
      <c r="E36" s="47">
        <f t="shared" si="1"/>
        <v>0.0030782592793938356</v>
      </c>
      <c r="F36" s="48">
        <f t="shared" si="4"/>
        <v>377045.1236751093</v>
      </c>
      <c r="G36" s="49">
        <f t="shared" si="5"/>
        <v>3.770451236751093</v>
      </c>
      <c r="H36" s="46">
        <f t="shared" si="6"/>
        <v>130850183.98433009</v>
      </c>
      <c r="I36" s="46">
        <f t="shared" si="7"/>
        <v>1308.5018398433008</v>
      </c>
      <c r="J36" s="49">
        <f t="shared" si="8"/>
        <v>1312.272291080052</v>
      </c>
      <c r="K36" s="49">
        <f t="shared" si="9"/>
        <v>14434.99520188057</v>
      </c>
      <c r="L36" s="48">
        <f t="shared" si="10"/>
        <v>-119227229.1080052</v>
      </c>
      <c r="M36" s="46" t="str">
        <f t="shared" si="2"/>
        <v>NOT OK</v>
      </c>
      <c r="N36" s="49">
        <f>2*PI()*Formasjon!$B$7*Formasjon!$B$16*(Iterasjon!$B$2-Iterasjon!A36)/(Formasjon!$B$19*LN(Formasjon!$B$31/Formasjon!$B$30))</f>
        <v>2.456193634609824</v>
      </c>
      <c r="O36" s="49">
        <f t="shared" si="11"/>
        <v>150527229.1080052</v>
      </c>
      <c r="P36" s="49">
        <f t="shared" si="12"/>
        <v>1505.272291080052</v>
      </c>
      <c r="Q36" s="6">
        <f t="shared" si="13"/>
        <v>0.001631727129479992</v>
      </c>
      <c r="X36" s="22"/>
    </row>
    <row r="37" spans="1:24" ht="12.75">
      <c r="A37" s="45">
        <f t="shared" si="14"/>
        <v>13000000</v>
      </c>
      <c r="B37" s="46">
        <f t="shared" si="3"/>
        <v>39.62443937765196</v>
      </c>
      <c r="C37" s="46">
        <f t="shared" si="0"/>
        <v>130.5739085054806</v>
      </c>
      <c r="D37" s="46">
        <f>690*B37*$B$13/Formasjon!$B$19</f>
        <v>2073348.7904356383</v>
      </c>
      <c r="E37" s="47">
        <f t="shared" si="1"/>
        <v>0.0030806224379496517</v>
      </c>
      <c r="F37" s="48">
        <f t="shared" si="4"/>
        <v>339245.55568844476</v>
      </c>
      <c r="G37" s="49">
        <f t="shared" si="5"/>
        <v>3.3924555568844474</v>
      </c>
      <c r="H37" s="46">
        <f t="shared" si="6"/>
        <v>117641864.51854357</v>
      </c>
      <c r="I37" s="46">
        <f t="shared" si="7"/>
        <v>1176.4186451854357</v>
      </c>
      <c r="J37" s="49">
        <f t="shared" si="8"/>
        <v>1179.8111007423201</v>
      </c>
      <c r="K37" s="49">
        <f t="shared" si="9"/>
        <v>12977.922108165521</v>
      </c>
      <c r="L37" s="48">
        <f t="shared" si="10"/>
        <v>-104981110.07423201</v>
      </c>
      <c r="M37" s="46" t="str">
        <f t="shared" si="2"/>
        <v>NOT OK</v>
      </c>
      <c r="N37" s="49">
        <f>2*PI()*Formasjon!$B$7*Formasjon!$B$16*(Iterasjon!$B$2-Iterasjon!A37)/(Formasjon!$B$19*LN(Formasjon!$B$31/Formasjon!$B$30))</f>
        <v>2.328929715718123</v>
      </c>
      <c r="O37" s="49">
        <f t="shared" si="11"/>
        <v>136281110.074232</v>
      </c>
      <c r="P37" s="49">
        <f t="shared" si="12"/>
        <v>1362.8111007423201</v>
      </c>
      <c r="Q37" s="6">
        <f t="shared" si="13"/>
        <v>0.0017089160151759553</v>
      </c>
      <c r="X37" s="22"/>
    </row>
    <row r="38" spans="1:24" ht="12.75">
      <c r="A38" s="45">
        <f t="shared" si="14"/>
        <v>14000000</v>
      </c>
      <c r="B38" s="46">
        <f t="shared" si="3"/>
        <v>37.45916946630487</v>
      </c>
      <c r="C38" s="46">
        <f t="shared" si="0"/>
        <v>123.43872224835054</v>
      </c>
      <c r="D38" s="46">
        <f>690*B38*$B$13/Formasjon!$B$19</f>
        <v>1960051.042324402</v>
      </c>
      <c r="E38" s="47">
        <f t="shared" si="1"/>
        <v>0.0030832513185687976</v>
      </c>
      <c r="F38" s="48">
        <f t="shared" si="4"/>
        <v>303441.2685234631</v>
      </c>
      <c r="G38" s="49">
        <f t="shared" si="5"/>
        <v>3.034412685234631</v>
      </c>
      <c r="H38" s="46">
        <f t="shared" si="6"/>
        <v>105136115.23710749</v>
      </c>
      <c r="I38" s="46">
        <f t="shared" si="7"/>
        <v>1051.361152371075</v>
      </c>
      <c r="J38" s="49">
        <f t="shared" si="8"/>
        <v>1054.3955650563096</v>
      </c>
      <c r="K38" s="49">
        <f t="shared" si="9"/>
        <v>11598.351215619405</v>
      </c>
      <c r="L38" s="48">
        <f t="shared" si="10"/>
        <v>-91439556.50563096</v>
      </c>
      <c r="M38" s="46" t="str">
        <f t="shared" si="2"/>
        <v>NOT OK</v>
      </c>
      <c r="N38" s="49">
        <f>2*PI()*Formasjon!$B$7*Formasjon!$B$16*(Iterasjon!$B$2-Iterasjon!A38)/(Formasjon!$B$19*LN(Formasjon!$B$31/Formasjon!$B$30))</f>
        <v>2.201665796826423</v>
      </c>
      <c r="O38" s="49">
        <f t="shared" si="11"/>
        <v>122739556.50563096</v>
      </c>
      <c r="P38" s="49">
        <f t="shared" si="12"/>
        <v>1227.3955650563096</v>
      </c>
      <c r="Q38" s="6">
        <f t="shared" si="13"/>
        <v>0.001793770369966602</v>
      </c>
      <c r="X38" s="22"/>
    </row>
    <row r="39" spans="1:24" ht="12.75">
      <c r="A39" s="45">
        <f t="shared" si="14"/>
        <v>15000000</v>
      </c>
      <c r="B39" s="46">
        <f t="shared" si="3"/>
        <v>35.29389955495776</v>
      </c>
      <c r="C39" s="46">
        <f t="shared" si="0"/>
        <v>116.30353599122043</v>
      </c>
      <c r="D39" s="46">
        <f>690*B39*$B$13/Formasjon!$B$19</f>
        <v>1846753.2942131644</v>
      </c>
      <c r="E39" s="47">
        <f t="shared" si="1"/>
        <v>0.0030861934369357715</v>
      </c>
      <c r="F39" s="48">
        <f t="shared" si="4"/>
        <v>269632.2682995765</v>
      </c>
      <c r="G39" s="49">
        <f t="shared" si="5"/>
        <v>2.6963226829957647</v>
      </c>
      <c r="H39" s="46">
        <f t="shared" si="6"/>
        <v>93332936.14002162</v>
      </c>
      <c r="I39" s="46">
        <f t="shared" si="7"/>
        <v>933.3293614002163</v>
      </c>
      <c r="J39" s="49">
        <f t="shared" si="8"/>
        <v>936.025684083212</v>
      </c>
      <c r="K39" s="49">
        <f t="shared" si="9"/>
        <v>10296.282524915332</v>
      </c>
      <c r="L39" s="48">
        <f t="shared" si="10"/>
        <v>-78602568.4083212</v>
      </c>
      <c r="M39" s="46" t="str">
        <f t="shared" si="2"/>
        <v>NOT OK</v>
      </c>
      <c r="N39" s="49">
        <f>2*PI()*Formasjon!$B$7*Formasjon!$B$16*(Iterasjon!$B$2-Iterasjon!A39)/(Formasjon!$B$19*LN(Formasjon!$B$31/Formasjon!$B$30))</f>
        <v>2.0744018779347217</v>
      </c>
      <c r="O39" s="49">
        <f t="shared" si="11"/>
        <v>109902568.4083212</v>
      </c>
      <c r="P39" s="49">
        <f t="shared" si="12"/>
        <v>1099.0256840832121</v>
      </c>
      <c r="Q39" s="6">
        <f t="shared" si="13"/>
        <v>0.0018874917192359807</v>
      </c>
      <c r="X39" s="22"/>
    </row>
    <row r="40" spans="1:24" ht="12.75">
      <c r="A40" s="45">
        <f t="shared" si="14"/>
        <v>16000000</v>
      </c>
      <c r="B40" s="46">
        <f t="shared" si="3"/>
        <v>33.12862964361066</v>
      </c>
      <c r="C40" s="46">
        <f t="shared" si="0"/>
        <v>109.16834973409036</v>
      </c>
      <c r="D40" s="46">
        <f>690*B40*$B$13/Formasjon!$B$19</f>
        <v>1733455.5461019273</v>
      </c>
      <c r="E40" s="47">
        <f t="shared" si="1"/>
        <v>0.0030895083634571293</v>
      </c>
      <c r="F40" s="48">
        <f t="shared" si="4"/>
        <v>237818.56263965738</v>
      </c>
      <c r="G40" s="49">
        <f t="shared" si="5"/>
        <v>2.378185626396574</v>
      </c>
      <c r="H40" s="46">
        <f t="shared" si="6"/>
        <v>82232327.22728619</v>
      </c>
      <c r="I40" s="46">
        <f t="shared" si="7"/>
        <v>822.3232722728619</v>
      </c>
      <c r="J40" s="49">
        <f t="shared" si="8"/>
        <v>824.7014578992585</v>
      </c>
      <c r="K40" s="49">
        <f t="shared" si="9"/>
        <v>9071.716036891843</v>
      </c>
      <c r="L40" s="48">
        <f t="shared" si="10"/>
        <v>-66470145.78992584</v>
      </c>
      <c r="M40" s="46" t="str">
        <f t="shared" si="2"/>
        <v>NOT OK</v>
      </c>
      <c r="N40" s="49">
        <f>2*PI()*Formasjon!$B$7*Formasjon!$B$16*(Iterasjon!$B$2-Iterasjon!A40)/(Formasjon!$B$19*LN(Formasjon!$B$31/Formasjon!$B$30))</f>
        <v>1.9471379590430211</v>
      </c>
      <c r="O40" s="49">
        <f t="shared" si="11"/>
        <v>97770145.78992584</v>
      </c>
      <c r="P40" s="49">
        <f t="shared" si="12"/>
        <v>977.7014578992585</v>
      </c>
      <c r="Q40" s="6">
        <f t="shared" si="13"/>
        <v>0.0019915465434885878</v>
      </c>
      <c r="X40" s="22"/>
    </row>
    <row r="41" spans="1:24" ht="12.75">
      <c r="A41" s="45">
        <f t="shared" si="14"/>
        <v>17000000</v>
      </c>
      <c r="B41" s="46">
        <f t="shared" si="3"/>
        <v>30.963359732263562</v>
      </c>
      <c r="C41" s="46">
        <f t="shared" si="0"/>
        <v>102.03316347696028</v>
      </c>
      <c r="D41" s="46">
        <f>690*B41*$B$13/Formasjon!$B$19</f>
        <v>1620157.7979906905</v>
      </c>
      <c r="E41" s="47">
        <f t="shared" si="1"/>
        <v>0.0030932718079689937</v>
      </c>
      <c r="F41" s="48">
        <f t="shared" si="4"/>
        <v>208000.16116218755</v>
      </c>
      <c r="G41" s="49">
        <f t="shared" si="5"/>
        <v>2.0800016116218756</v>
      </c>
      <c r="H41" s="46">
        <f t="shared" si="6"/>
        <v>71834288.4989011</v>
      </c>
      <c r="I41" s="46">
        <f t="shared" si="7"/>
        <v>718.3428849890109</v>
      </c>
      <c r="J41" s="49">
        <f t="shared" si="8"/>
        <v>720.4228866006329</v>
      </c>
      <c r="K41" s="49">
        <f t="shared" si="9"/>
        <v>7924.651752606962</v>
      </c>
      <c r="L41" s="48">
        <f t="shared" si="10"/>
        <v>-55042288.66006328</v>
      </c>
      <c r="M41" s="46" t="str">
        <f t="shared" si="2"/>
        <v>NOT OK</v>
      </c>
      <c r="N41" s="49">
        <f>2*PI()*Formasjon!$B$7*Formasjon!$B$16*(Iterasjon!$B$2-Iterasjon!A41)/(Formasjon!$B$19*LN(Formasjon!$B$31/Formasjon!$B$30))</f>
        <v>1.8198740401513207</v>
      </c>
      <c r="O41" s="49">
        <f t="shared" si="11"/>
        <v>86342288.66006328</v>
      </c>
      <c r="P41" s="49">
        <f t="shared" si="12"/>
        <v>863.4228866006329</v>
      </c>
      <c r="Q41" s="6">
        <f t="shared" si="13"/>
        <v>0.002107743573159515</v>
      </c>
      <c r="X41" s="22"/>
    </row>
    <row r="42" spans="1:24" ht="12.75">
      <c r="A42" s="45">
        <f t="shared" si="14"/>
        <v>18000000</v>
      </c>
      <c r="B42" s="46">
        <f t="shared" si="3"/>
        <v>28.79808982091646</v>
      </c>
      <c r="C42" s="46">
        <f t="shared" si="0"/>
        <v>94.89797721983018</v>
      </c>
      <c r="D42" s="46">
        <f>690*B42*$B$13/Formasjon!$B$19</f>
        <v>1506860.0498794531</v>
      </c>
      <c r="E42" s="47">
        <f t="shared" si="1"/>
        <v>0.0030975814875601328</v>
      </c>
      <c r="F42" s="48">
        <f t="shared" si="4"/>
        <v>180177.07618037928</v>
      </c>
      <c r="G42" s="49">
        <f t="shared" si="5"/>
        <v>1.8017707618037928</v>
      </c>
      <c r="H42" s="46">
        <f t="shared" si="6"/>
        <v>62138819.95486632</v>
      </c>
      <c r="I42" s="46">
        <f t="shared" si="7"/>
        <v>621.3881995486632</v>
      </c>
      <c r="J42" s="49">
        <f t="shared" si="8"/>
        <v>623.1899703104671</v>
      </c>
      <c r="K42" s="49">
        <f t="shared" si="9"/>
        <v>6855.089673415137</v>
      </c>
      <c r="L42" s="48">
        <f t="shared" si="10"/>
        <v>-44318997.0310467</v>
      </c>
      <c r="M42" s="46" t="str">
        <f t="shared" si="2"/>
        <v>NOT OK</v>
      </c>
      <c r="N42" s="49">
        <f>2*PI()*Formasjon!$B$7*Formasjon!$B$16*(Iterasjon!$B$2-Iterasjon!A42)/(Formasjon!$B$19*LN(Formasjon!$B$31/Formasjon!$B$30))</f>
        <v>1.6926101212596198</v>
      </c>
      <c r="O42" s="49">
        <f t="shared" si="11"/>
        <v>75618997.0310467</v>
      </c>
      <c r="P42" s="49">
        <f t="shared" si="12"/>
        <v>756.1899703104671</v>
      </c>
      <c r="Q42" s="6">
        <f t="shared" si="13"/>
        <v>0.0022383398189805255</v>
      </c>
      <c r="X42" s="22"/>
    </row>
    <row r="43" spans="1:24" ht="12.75">
      <c r="A43" s="45">
        <f t="shared" si="14"/>
        <v>19000000</v>
      </c>
      <c r="B43" s="46">
        <f t="shared" si="3"/>
        <v>26.632819909569356</v>
      </c>
      <c r="C43" s="46">
        <f t="shared" si="0"/>
        <v>87.7627909627001</v>
      </c>
      <c r="D43" s="46">
        <f>690*B43*$B$13/Formasjon!$B$19</f>
        <v>1393562.3017682163</v>
      </c>
      <c r="E43" s="47">
        <f t="shared" si="1"/>
        <v>0.0031025657578058444</v>
      </c>
      <c r="F43" s="48">
        <f t="shared" si="4"/>
        <v>154349.3237175275</v>
      </c>
      <c r="G43" s="49">
        <f t="shared" si="5"/>
        <v>1.543493237175275</v>
      </c>
      <c r="H43" s="46">
        <f t="shared" si="6"/>
        <v>53145921.5951819</v>
      </c>
      <c r="I43" s="46">
        <f t="shared" si="7"/>
        <v>531.4592159518189</v>
      </c>
      <c r="J43" s="49">
        <f t="shared" si="8"/>
        <v>533.0027091889942</v>
      </c>
      <c r="K43" s="49">
        <f t="shared" si="9"/>
        <v>5863.0298010789365</v>
      </c>
      <c r="L43" s="48">
        <f t="shared" si="10"/>
        <v>-34300270.918899424</v>
      </c>
      <c r="M43" s="46" t="str">
        <f t="shared" si="2"/>
        <v>NOT OK</v>
      </c>
      <c r="N43" s="49">
        <f>2*PI()*Formasjon!$B$7*Formasjon!$B$16*(Iterasjon!$B$2-Iterasjon!A43)/(Formasjon!$B$19*LN(Formasjon!$B$31/Formasjon!$B$30))</f>
        <v>1.565346202367919</v>
      </c>
      <c r="O43" s="49">
        <f t="shared" si="11"/>
        <v>65600270.918899424</v>
      </c>
      <c r="P43" s="49">
        <f t="shared" si="12"/>
        <v>656.0027091889942</v>
      </c>
      <c r="Q43" s="6">
        <f t="shared" si="13"/>
        <v>0.002386188624591401</v>
      </c>
      <c r="X43" s="22"/>
    </row>
    <row r="44" spans="1:24" ht="12.75">
      <c r="A44" s="45">
        <f t="shared" si="14"/>
        <v>20000000</v>
      </c>
      <c r="B44" s="46">
        <f t="shared" si="3"/>
        <v>24.467549998222253</v>
      </c>
      <c r="C44" s="46">
        <f t="shared" si="0"/>
        <v>80.62760470557001</v>
      </c>
      <c r="D44" s="46">
        <f>690*B44*$B$13/Formasjon!$B$19</f>
        <v>1280264.5536569792</v>
      </c>
      <c r="E44" s="47">
        <f t="shared" si="1"/>
        <v>0.003108396656846056</v>
      </c>
      <c r="F44" s="48">
        <f t="shared" si="4"/>
        <v>130516.92501920709</v>
      </c>
      <c r="G44" s="49">
        <f t="shared" si="5"/>
        <v>1.3051692501920709</v>
      </c>
      <c r="H44" s="46">
        <f t="shared" si="6"/>
        <v>44855593.419847816</v>
      </c>
      <c r="I44" s="46">
        <f t="shared" si="7"/>
        <v>448.55593419847816</v>
      </c>
      <c r="J44" s="49">
        <f t="shared" si="8"/>
        <v>449.86110344867024</v>
      </c>
      <c r="K44" s="49">
        <f t="shared" si="9"/>
        <v>4948.472137935372</v>
      </c>
      <c r="L44" s="48">
        <f t="shared" si="10"/>
        <v>-24986110.344867025</v>
      </c>
      <c r="M44" s="46" t="str">
        <f t="shared" si="2"/>
        <v>NOT OK</v>
      </c>
      <c r="N44" s="49">
        <f>2*PI()*Formasjon!$B$7*Formasjon!$B$16*(Iterasjon!$B$2-Iterasjon!A44)/(Formasjon!$B$19*LN(Formasjon!$B$31/Formasjon!$B$30))</f>
        <v>1.4380822834762184</v>
      </c>
      <c r="O44" s="49">
        <f t="shared" si="11"/>
        <v>56286110.34486702</v>
      </c>
      <c r="P44" s="49">
        <f t="shared" si="12"/>
        <v>562.8611034486702</v>
      </c>
      <c r="Q44" s="6">
        <f t="shared" si="13"/>
        <v>0.0025549505458185625</v>
      </c>
      <c r="X44" s="22"/>
    </row>
    <row r="45" spans="1:24" ht="12.75">
      <c r="A45" s="45">
        <f t="shared" si="14"/>
        <v>21000000</v>
      </c>
      <c r="B45" s="46">
        <f t="shared" si="3"/>
        <v>22.30228008687515</v>
      </c>
      <c r="C45" s="46">
        <f t="shared" si="0"/>
        <v>73.4924184484399</v>
      </c>
      <c r="D45" s="46">
        <f>690*B45*$B$13/Formasjon!$B$19</f>
        <v>1166966.805545742</v>
      </c>
      <c r="E45" s="47">
        <f t="shared" si="1"/>
        <v>0.0031153102433534112</v>
      </c>
      <c r="F45" s="48">
        <f t="shared" si="4"/>
        <v>108679.90887139046</v>
      </c>
      <c r="G45" s="49">
        <f t="shared" si="5"/>
        <v>1.0867990887139047</v>
      </c>
      <c r="H45" s="46">
        <f t="shared" si="6"/>
        <v>37267835.42886408</v>
      </c>
      <c r="I45" s="46">
        <f t="shared" si="7"/>
        <v>372.6783542886408</v>
      </c>
      <c r="J45" s="49">
        <f t="shared" si="8"/>
        <v>373.7651533773547</v>
      </c>
      <c r="K45" s="49">
        <f t="shared" si="9"/>
        <v>4111.416687150901</v>
      </c>
      <c r="L45" s="48">
        <f t="shared" si="10"/>
        <v>-16376515.337735467</v>
      </c>
      <c r="M45" s="46" t="str">
        <f t="shared" si="2"/>
        <v>NOT OK</v>
      </c>
      <c r="N45" s="49">
        <f>2*PI()*Formasjon!$B$7*Formasjon!$B$16*(Iterasjon!$B$2-Iterasjon!A45)/(Formasjon!$B$19*LN(Formasjon!$B$31/Formasjon!$B$30))</f>
        <v>1.3108183645845175</v>
      </c>
      <c r="O45" s="49">
        <f t="shared" si="11"/>
        <v>47676515.33773547</v>
      </c>
      <c r="P45" s="49">
        <f t="shared" si="12"/>
        <v>476.7651533773547</v>
      </c>
      <c r="Q45" s="6">
        <f t="shared" si="13"/>
        <v>0.00274940052832892</v>
      </c>
      <c r="X45" s="22"/>
    </row>
    <row r="46" spans="1:24" ht="12.75">
      <c r="A46" s="45">
        <f t="shared" si="14"/>
        <v>22000000</v>
      </c>
      <c r="B46" s="46">
        <f t="shared" si="3"/>
        <v>20.137010175528047</v>
      </c>
      <c r="C46" s="46">
        <f t="shared" si="0"/>
        <v>66.35723219130982</v>
      </c>
      <c r="D46" s="46">
        <f>690*B46*$B$13/Formasjon!$B$19</f>
        <v>1053669.0574345049</v>
      </c>
      <c r="E46" s="47">
        <f t="shared" si="1"/>
        <v>0.003123639483848769</v>
      </c>
      <c r="F46" s="48">
        <f t="shared" si="4"/>
        <v>88838.31527497956</v>
      </c>
      <c r="G46" s="49">
        <f t="shared" si="5"/>
        <v>0.8883831527497955</v>
      </c>
      <c r="H46" s="46">
        <f t="shared" si="6"/>
        <v>30382647.62223069</v>
      </c>
      <c r="I46" s="46">
        <f t="shared" si="7"/>
        <v>303.8264762223069</v>
      </c>
      <c r="J46" s="49">
        <f t="shared" si="8"/>
        <v>304.7148593750567</v>
      </c>
      <c r="K46" s="49">
        <f t="shared" si="9"/>
        <v>3351.8634531256234</v>
      </c>
      <c r="L46" s="48">
        <f t="shared" si="10"/>
        <v>-8471485.93750567</v>
      </c>
      <c r="M46" s="46" t="str">
        <f t="shared" si="2"/>
        <v>NOT OK</v>
      </c>
      <c r="N46" s="49">
        <f>2*PI()*Formasjon!$B$7*Formasjon!$B$16*(Iterasjon!$B$2-Iterasjon!A46)/(Formasjon!$B$19*LN(Formasjon!$B$31/Formasjon!$B$30))</f>
        <v>1.1835544456928166</v>
      </c>
      <c r="O46" s="49">
        <f t="shared" si="11"/>
        <v>39771485.93750567</v>
      </c>
      <c r="P46" s="49">
        <f t="shared" si="12"/>
        <v>397.7148593750567</v>
      </c>
      <c r="Q46" s="6">
        <f t="shared" si="13"/>
        <v>0.0029758869144406053</v>
      </c>
      <c r="X46" s="22"/>
    </row>
    <row r="47" spans="1:24" ht="12.75">
      <c r="A47" s="45">
        <f t="shared" si="14"/>
        <v>23000000</v>
      </c>
      <c r="B47" s="46">
        <f t="shared" si="3"/>
        <v>17.971740264180948</v>
      </c>
      <c r="C47" s="46">
        <f t="shared" si="0"/>
        <v>59.22204593417973</v>
      </c>
      <c r="D47" s="46">
        <f>690*B47*$B$13/Formasjon!$B$19</f>
        <v>940371.3093232679</v>
      </c>
      <c r="E47" s="47">
        <f t="shared" si="1"/>
        <v>0.003133869778041346</v>
      </c>
      <c r="F47" s="48">
        <f t="shared" si="4"/>
        <v>70992.20150403166</v>
      </c>
      <c r="G47" s="49">
        <f t="shared" si="5"/>
        <v>0.7099220150403166</v>
      </c>
      <c r="H47" s="46">
        <f t="shared" si="6"/>
        <v>24200029.999947652</v>
      </c>
      <c r="I47" s="46">
        <f t="shared" si="7"/>
        <v>242.0002999994765</v>
      </c>
      <c r="J47" s="49">
        <f t="shared" si="8"/>
        <v>242.71022201451683</v>
      </c>
      <c r="K47" s="49">
        <f t="shared" si="9"/>
        <v>2669.812442159685</v>
      </c>
      <c r="L47" s="48">
        <f t="shared" si="10"/>
        <v>-1271022.2014516853</v>
      </c>
      <c r="M47" s="46" t="str">
        <f t="shared" si="2"/>
        <v>NOT OK</v>
      </c>
      <c r="N47" s="49">
        <f>2*PI()*Formasjon!$B$7*Formasjon!$B$16*(Iterasjon!$B$2-Iterasjon!A47)/(Formasjon!$B$19*LN(Formasjon!$B$31/Formasjon!$B$30))</f>
        <v>1.056290526801116</v>
      </c>
      <c r="O47" s="49">
        <f t="shared" si="11"/>
        <v>32571022.201451685</v>
      </c>
      <c r="P47" s="49">
        <f t="shared" si="12"/>
        <v>325.71022201451683</v>
      </c>
      <c r="Q47" s="6">
        <f t="shared" si="13"/>
        <v>0.003243037692424763</v>
      </c>
      <c r="X47" s="22"/>
    </row>
    <row r="48" spans="1:24" ht="12.75">
      <c r="A48" s="45">
        <f t="shared" si="14"/>
        <v>24000000</v>
      </c>
      <c r="B48" s="46">
        <f t="shared" si="3"/>
        <v>15.806470352833845</v>
      </c>
      <c r="C48" s="46">
        <f t="shared" si="0"/>
        <v>52.086859677049645</v>
      </c>
      <c r="D48" s="46">
        <f>690*B48*$B$13/Formasjon!$B$19</f>
        <v>827073.5612120308</v>
      </c>
      <c r="E48" s="47">
        <f t="shared" si="1"/>
        <v>0.003146737707028399</v>
      </c>
      <c r="F48" s="48">
        <f t="shared" si="4"/>
        <v>55141.6525735492</v>
      </c>
      <c r="G48" s="49">
        <f t="shared" si="5"/>
        <v>0.551416525735492</v>
      </c>
      <c r="H48" s="46">
        <f t="shared" si="6"/>
        <v>18719982.562014952</v>
      </c>
      <c r="I48" s="46">
        <f t="shared" si="7"/>
        <v>187.1998256201495</v>
      </c>
      <c r="J48" s="49">
        <f t="shared" si="8"/>
        <v>187.75124214588502</v>
      </c>
      <c r="K48" s="49">
        <f t="shared" si="9"/>
        <v>2065.263663604735</v>
      </c>
      <c r="L48" s="48">
        <f t="shared" si="10"/>
        <v>5224875.785411499</v>
      </c>
      <c r="M48" s="46" t="str">
        <f t="shared" si="2"/>
        <v>OK</v>
      </c>
      <c r="N48" s="49">
        <f>2*PI()*Formasjon!$B$7*Formasjon!$B$16*(Iterasjon!$B$2-Iterasjon!A48)/(Formasjon!$B$19*LN(Formasjon!$B$31/Formasjon!$B$30))</f>
        <v>0.9290266079094153</v>
      </c>
      <c r="O48" s="49">
        <f t="shared" si="11"/>
        <v>26075124.2145885</v>
      </c>
      <c r="P48" s="49">
        <f t="shared" si="12"/>
        <v>260.751242145885</v>
      </c>
      <c r="Q48" s="6">
        <f t="shared" si="13"/>
        <v>0.0035628846875814454</v>
      </c>
      <c r="X48" s="22"/>
    </row>
    <row r="49" spans="1:24" ht="12.75">
      <c r="A49" s="45">
        <f t="shared" si="14"/>
        <v>25000000</v>
      </c>
      <c r="B49" s="46">
        <f t="shared" si="3"/>
        <v>13.641200441486744</v>
      </c>
      <c r="C49" s="46">
        <f t="shared" si="0"/>
        <v>44.95167341991956</v>
      </c>
      <c r="D49" s="46">
        <f>690*B49*$B$13/Formasjon!$B$19</f>
        <v>713775.8131007936</v>
      </c>
      <c r="E49" s="47">
        <f t="shared" si="1"/>
        <v>0.0031634182484380578</v>
      </c>
      <c r="F49" s="48">
        <f t="shared" si="4"/>
        <v>41286.80038695324</v>
      </c>
      <c r="G49" s="49">
        <f t="shared" si="5"/>
        <v>0.41286800386953243</v>
      </c>
      <c r="H49" s="46">
        <f t="shared" si="6"/>
        <v>13942505.308432607</v>
      </c>
      <c r="I49" s="46">
        <f t="shared" si="7"/>
        <v>139.42505308432607</v>
      </c>
      <c r="J49" s="49">
        <f t="shared" si="8"/>
        <v>139.8379210881956</v>
      </c>
      <c r="K49" s="49">
        <f t="shared" si="9"/>
        <v>1538.2171319701515</v>
      </c>
      <c r="L49" s="48">
        <f t="shared" si="10"/>
        <v>11016207.891180439</v>
      </c>
      <c r="M49" s="46" t="str">
        <f t="shared" si="2"/>
        <v>OK</v>
      </c>
      <c r="N49" s="49">
        <f>2*PI()*Formasjon!$B$7*Formasjon!$B$16*(Iterasjon!$B$2-Iterasjon!A49)/(Formasjon!$B$19*LN(Formasjon!$B$31/Formasjon!$B$30))</f>
        <v>0.8017626890177146</v>
      </c>
      <c r="O49" s="49">
        <f t="shared" si="11"/>
        <v>20283792.10881956</v>
      </c>
      <c r="P49" s="49">
        <f t="shared" si="12"/>
        <v>202.8379210881956</v>
      </c>
      <c r="Q49" s="6">
        <f t="shared" si="13"/>
        <v>0.003952725825212444</v>
      </c>
      <c r="X49" s="22"/>
    </row>
    <row r="50" spans="1:24" ht="12.75">
      <c r="A50" s="45">
        <f t="shared" si="14"/>
        <v>26000000</v>
      </c>
      <c r="B50" s="46">
        <f t="shared" si="3"/>
        <v>11.47593053013964</v>
      </c>
      <c r="C50" s="46">
        <f t="shared" si="0"/>
        <v>37.81648716278947</v>
      </c>
      <c r="D50" s="46">
        <f>690*B50*$B$13/Formasjon!$B$19</f>
        <v>600478.0649895566</v>
      </c>
      <c r="E50" s="47">
        <f t="shared" si="1"/>
        <v>0.0031859096006627225</v>
      </c>
      <c r="F50" s="48">
        <f t="shared" si="4"/>
        <v>29427.861333327928</v>
      </c>
      <c r="G50" s="49">
        <f t="shared" si="5"/>
        <v>0.29427861333327926</v>
      </c>
      <c r="H50" s="46">
        <f t="shared" si="6"/>
        <v>9867598.239200603</v>
      </c>
      <c r="I50" s="46">
        <f t="shared" si="7"/>
        <v>98.67598239200603</v>
      </c>
      <c r="J50" s="49">
        <f t="shared" si="8"/>
        <v>98.97026100533931</v>
      </c>
      <c r="K50" s="49">
        <f t="shared" si="9"/>
        <v>1088.6728710587324</v>
      </c>
      <c r="L50" s="48">
        <f t="shared" si="10"/>
        <v>16102973.899466068</v>
      </c>
      <c r="M50" s="46" t="str">
        <f t="shared" si="2"/>
        <v>OK</v>
      </c>
      <c r="N50" s="49">
        <f>2*PI()*Formasjon!$B$7*Formasjon!$B$16*(Iterasjon!$B$2-Iterasjon!A50)/(Formasjon!$B$19*LN(Formasjon!$B$31/Formasjon!$B$30))</f>
        <v>0.6744987701260139</v>
      </c>
      <c r="O50" s="49">
        <f t="shared" si="11"/>
        <v>15197026.100533932</v>
      </c>
      <c r="P50" s="49">
        <f t="shared" si="12"/>
        <v>151.97026100533932</v>
      </c>
      <c r="Q50" s="6">
        <f t="shared" si="13"/>
        <v>0.004438360279596519</v>
      </c>
      <c r="X50" s="22"/>
    </row>
    <row r="51" spans="1:24" ht="12.75">
      <c r="A51" s="45">
        <f t="shared" si="14"/>
        <v>27000000</v>
      </c>
      <c r="B51" s="46">
        <f t="shared" si="3"/>
        <v>9.31066061879254</v>
      </c>
      <c r="C51" s="46">
        <f t="shared" si="0"/>
        <v>30.68130090565938</v>
      </c>
      <c r="D51" s="46">
        <f>690*B51*$B$13/Formasjon!$B$19</f>
        <v>487180.3168783195</v>
      </c>
      <c r="E51" s="47">
        <f t="shared" si="1"/>
        <v>0.003217912627421411</v>
      </c>
      <c r="F51" s="48">
        <f t="shared" si="4"/>
        <v>19565.217142447145</v>
      </c>
      <c r="G51" s="49">
        <f t="shared" si="5"/>
        <v>0.19565217142447144</v>
      </c>
      <c r="H51" s="46">
        <f t="shared" si="6"/>
        <v>6495261.354318945</v>
      </c>
      <c r="I51" s="46">
        <f t="shared" si="7"/>
        <v>64.95261354318944</v>
      </c>
      <c r="J51" s="49">
        <f t="shared" si="8"/>
        <v>65.14826571461391</v>
      </c>
      <c r="K51" s="49">
        <f t="shared" si="9"/>
        <v>716.630922860753</v>
      </c>
      <c r="L51" s="48">
        <f t="shared" si="10"/>
        <v>20485173.428538606</v>
      </c>
      <c r="M51" s="46" t="str">
        <f t="shared" si="2"/>
        <v>OK</v>
      </c>
      <c r="N51" s="49">
        <f>2*PI()*Formasjon!$B$7*Formasjon!$B$16*(Iterasjon!$B$2-Iterasjon!A51)/(Formasjon!$B$19*LN(Formasjon!$B$31/Formasjon!$B$30))</f>
        <v>0.5472348512343131</v>
      </c>
      <c r="O51" s="49">
        <f t="shared" si="11"/>
        <v>10814826.571461394</v>
      </c>
      <c r="P51" s="49">
        <f t="shared" si="12"/>
        <v>108.14826571461394</v>
      </c>
      <c r="Q51" s="6">
        <f t="shared" si="13"/>
        <v>0.0050600427812534585</v>
      </c>
      <c r="X51" s="22"/>
    </row>
    <row r="52" spans="1:24" ht="12.75">
      <c r="A52" s="45">
        <f t="shared" si="14"/>
        <v>28000000</v>
      </c>
      <c r="B52" s="46">
        <f t="shared" si="3"/>
        <v>7.145390707445436</v>
      </c>
      <c r="C52" s="46">
        <f t="shared" si="0"/>
        <v>23.54611464852929</v>
      </c>
      <c r="D52" s="46">
        <f>690*B52*$B$13/Formasjon!$B$19</f>
        <v>373882.5687670824</v>
      </c>
      <c r="E52" s="47">
        <f t="shared" si="1"/>
        <v>0.003267157268496172</v>
      </c>
      <c r="F52" s="48">
        <f t="shared" si="4"/>
        <v>11699.611295333832</v>
      </c>
      <c r="G52" s="49">
        <f t="shared" si="5"/>
        <v>0.11699611295333832</v>
      </c>
      <c r="H52" s="46">
        <f t="shared" si="6"/>
        <v>3825494.6537876306</v>
      </c>
      <c r="I52" s="46">
        <f t="shared" si="7"/>
        <v>38.25494653787631</v>
      </c>
      <c r="J52" s="49">
        <f t="shared" si="8"/>
        <v>38.371942650829645</v>
      </c>
      <c r="K52" s="49">
        <f t="shared" si="9"/>
        <v>422.0913691591261</v>
      </c>
      <c r="L52" s="48">
        <f t="shared" si="10"/>
        <v>24162805.734917033</v>
      </c>
      <c r="M52" s="46" t="str">
        <f t="shared" si="2"/>
        <v>OK</v>
      </c>
      <c r="N52" s="49">
        <f>2*PI()*Formasjon!$B$7*Formasjon!$B$16*(Iterasjon!$B$2-Iterasjon!A52)/(Formasjon!$B$19*LN(Formasjon!$B$31/Formasjon!$B$30))</f>
        <v>0.4199709323426124</v>
      </c>
      <c r="O52" s="49">
        <f t="shared" si="11"/>
        <v>7137194.265082967</v>
      </c>
      <c r="P52" s="49">
        <f t="shared" si="12"/>
        <v>71.37194265082967</v>
      </c>
      <c r="Q52" s="6">
        <f t="shared" si="13"/>
        <v>0.005884258109621883</v>
      </c>
      <c r="X52" s="22"/>
    </row>
    <row r="53" spans="1:24" ht="12.75">
      <c r="A53" s="45">
        <f t="shared" si="14"/>
        <v>29000000</v>
      </c>
      <c r="B53" s="46">
        <f t="shared" si="3"/>
        <v>4.980120796098335</v>
      </c>
      <c r="C53" s="46">
        <f t="shared" si="0"/>
        <v>16.410928391399207</v>
      </c>
      <c r="D53" s="46">
        <f>690*B53*$B$13/Formasjon!$B$19</f>
        <v>260584.8206558453</v>
      </c>
      <c r="E53" s="47">
        <f t="shared" si="1"/>
        <v>0.003353062930371908</v>
      </c>
      <c r="F53" s="48">
        <f t="shared" si="4"/>
        <v>5832.716788508176</v>
      </c>
      <c r="G53" s="49">
        <f t="shared" si="5"/>
        <v>0.058327167885081764</v>
      </c>
      <c r="H53" s="46">
        <f t="shared" si="6"/>
        <v>1858298.1376066646</v>
      </c>
      <c r="I53" s="46">
        <f t="shared" si="7"/>
        <v>18.582981376066645</v>
      </c>
      <c r="J53" s="49">
        <f t="shared" si="8"/>
        <v>18.641308543951727</v>
      </c>
      <c r="K53" s="49">
        <f t="shared" si="9"/>
        <v>205.054393983469</v>
      </c>
      <c r="L53" s="48">
        <f t="shared" si="10"/>
        <v>27135869.145604827</v>
      </c>
      <c r="M53" s="46" t="str">
        <f t="shared" si="2"/>
        <v>OK</v>
      </c>
      <c r="N53" s="49">
        <f>2*PI()*Formasjon!$B$7*Formasjon!$B$16*(Iterasjon!$B$2-Iterasjon!A53)/(Formasjon!$B$19*LN(Formasjon!$B$31/Formasjon!$B$30))</f>
        <v>0.2927070134509117</v>
      </c>
      <c r="O53" s="49">
        <f t="shared" si="11"/>
        <v>4164130.8543951735</v>
      </c>
      <c r="P53" s="49">
        <f t="shared" si="12"/>
        <v>41.64130854395174</v>
      </c>
      <c r="Q53" s="6">
        <f t="shared" si="13"/>
        <v>0.007029246286580166</v>
      </c>
      <c r="X53" s="22"/>
    </row>
    <row r="54" spans="1:24" ht="12.75">
      <c r="A54" s="45">
        <f t="shared" si="14"/>
        <v>30000000</v>
      </c>
      <c r="B54" s="46">
        <f t="shared" si="3"/>
        <v>2.814850884751233</v>
      </c>
      <c r="C54" s="46">
        <f t="shared" si="0"/>
        <v>9.275742134269116</v>
      </c>
      <c r="D54" s="46">
        <f>690*B54*$B$13/Formasjon!$B$19</f>
        <v>147287.07254460824</v>
      </c>
      <c r="E54" s="47">
        <f t="shared" si="1"/>
        <v>0.0035436615872692606</v>
      </c>
      <c r="F54" s="48">
        <f t="shared" si="4"/>
        <v>1969.3026196895344</v>
      </c>
      <c r="G54" s="49">
        <f t="shared" si="5"/>
        <v>0.019693026196895343</v>
      </c>
      <c r="H54" s="46">
        <f t="shared" si="6"/>
        <v>593671.805776042</v>
      </c>
      <c r="I54" s="46">
        <f t="shared" si="7"/>
        <v>5.93671805776042</v>
      </c>
      <c r="J54" s="49">
        <f t="shared" si="8"/>
        <v>5.956411083957316</v>
      </c>
      <c r="K54" s="49">
        <f t="shared" si="9"/>
        <v>65.52052192353048</v>
      </c>
      <c r="L54" s="48">
        <f t="shared" si="10"/>
        <v>29404358.89160427</v>
      </c>
      <c r="M54" s="46" t="str">
        <f t="shared" si="2"/>
        <v>OK</v>
      </c>
      <c r="N54" s="49">
        <f>2*PI()*Formasjon!$B$7*Formasjon!$B$16*(Iterasjon!$B$2-Iterasjon!A54)/(Formasjon!$B$19*LN(Formasjon!$B$31/Formasjon!$B$30))</f>
        <v>0.16544309455921097</v>
      </c>
      <c r="O54" s="49">
        <f t="shared" si="11"/>
        <v>1895641.1083957292</v>
      </c>
      <c r="P54" s="49">
        <f t="shared" si="12"/>
        <v>18.956411083957292</v>
      </c>
      <c r="Q54" s="6">
        <f t="shared" si="13"/>
        <v>0.008727553640109893</v>
      </c>
      <c r="X54" s="22"/>
    </row>
    <row r="55" spans="1:24" ht="12.75">
      <c r="A55" s="45">
        <f t="shared" si="14"/>
        <v>31000000</v>
      </c>
      <c r="B55" s="46">
        <f t="shared" si="3"/>
        <v>0.6495809734041306</v>
      </c>
      <c r="C55" s="46">
        <f t="shared" si="0"/>
        <v>2.1405558771390263</v>
      </c>
      <c r="D55" s="46">
        <f>690*B55*$B$13/Formasjon!$B$19</f>
        <v>33989.32443337112</v>
      </c>
      <c r="E55" s="47">
        <f t="shared" si="1"/>
        <v>0.004463341001502333</v>
      </c>
      <c r="F55" s="48">
        <f t="shared" si="4"/>
        <v>132.0918707622908</v>
      </c>
      <c r="G55" s="49">
        <f t="shared" si="5"/>
        <v>0.0013209187076229079</v>
      </c>
      <c r="H55" s="46">
        <f t="shared" si="6"/>
        <v>31615.65829576554</v>
      </c>
      <c r="I55" s="46">
        <f t="shared" si="7"/>
        <v>0.3161565829576554</v>
      </c>
      <c r="J55" s="49">
        <f t="shared" si="8"/>
        <v>0.3174775016652783</v>
      </c>
      <c r="K55" s="49">
        <f t="shared" si="9"/>
        <v>3.4922525183180615</v>
      </c>
      <c r="L55" s="48">
        <f t="shared" si="10"/>
        <v>30968252.249833472</v>
      </c>
      <c r="M55" s="46" t="str">
        <f t="shared" si="2"/>
        <v>OK</v>
      </c>
      <c r="N55" s="49">
        <f>2*PI()*Formasjon!$B$7*Formasjon!$B$16*(Iterasjon!$B$2-Iterasjon!A55)/(Formasjon!$B$19*LN(Formasjon!$B$31/Formasjon!$B$30))</f>
        <v>0.038179175667510216</v>
      </c>
      <c r="O55" s="49">
        <f t="shared" si="11"/>
        <v>331747.7501665279</v>
      </c>
      <c r="P55" s="49">
        <f t="shared" si="12"/>
        <v>3.3174775016652793</v>
      </c>
      <c r="Q55" s="6">
        <f t="shared" si="13"/>
        <v>0.011508495731574775</v>
      </c>
      <c r="X55" s="22"/>
    </row>
    <row r="56" spans="1:24" ht="12.75">
      <c r="A56" s="45">
        <f aca="true" t="shared" si="15" ref="A56:A61">A55+50000</f>
        <v>31050000</v>
      </c>
      <c r="B56" s="46">
        <f t="shared" si="3"/>
        <v>0.5413174778367755</v>
      </c>
      <c r="C56" s="46">
        <f t="shared" si="0"/>
        <v>1.7837965642825222</v>
      </c>
      <c r="D56" s="46">
        <f>690*B56*$B$13/Formasjon!$B$19</f>
        <v>28324.437027809276</v>
      </c>
      <c r="E56" s="47">
        <f t="shared" si="1"/>
        <v>0.004632842184416519</v>
      </c>
      <c r="F56" s="48">
        <f t="shared" si="4"/>
        <v>95.21404961988829</v>
      </c>
      <c r="G56" s="49">
        <f t="shared" si="5"/>
        <v>0.0009521404961988828</v>
      </c>
      <c r="H56" s="46">
        <f t="shared" si="6"/>
        <v>21955.318260948297</v>
      </c>
      <c r="I56" s="46">
        <f t="shared" si="7"/>
        <v>0.21955318260948298</v>
      </c>
      <c r="J56" s="49">
        <f t="shared" si="8"/>
        <v>0.22050532310568186</v>
      </c>
      <c r="K56" s="49">
        <f t="shared" si="9"/>
        <v>2.4255585541625004</v>
      </c>
      <c r="L56" s="48">
        <f t="shared" si="10"/>
        <v>31027949.467689432</v>
      </c>
      <c r="M56" s="46" t="str">
        <f t="shared" si="2"/>
        <v>OK</v>
      </c>
      <c r="N56" s="49">
        <f>2*PI()*Formasjon!$B$7*Formasjon!$B$16*(Iterasjon!$B$2-Iterasjon!A56)/(Formasjon!$B$19*LN(Formasjon!$B$31/Formasjon!$B$30))</f>
        <v>0.031815979722925186</v>
      </c>
      <c r="O56" s="49">
        <f t="shared" si="11"/>
        <v>272050.5323105678</v>
      </c>
      <c r="P56" s="49">
        <f t="shared" si="12"/>
        <v>2.720505323105678</v>
      </c>
      <c r="Q56" s="6">
        <f t="shared" si="13"/>
        <v>0.011694878687686101</v>
      </c>
      <c r="X56" s="22"/>
    </row>
    <row r="57" spans="1:24" ht="12.75">
      <c r="A57" s="45">
        <f t="shared" si="15"/>
        <v>31100000</v>
      </c>
      <c r="B57" s="46">
        <f t="shared" si="3"/>
        <v>0.43305398226942043</v>
      </c>
      <c r="C57" s="46">
        <f t="shared" si="0"/>
        <v>1.427037251426018</v>
      </c>
      <c r="D57" s="46">
        <f>690*B57*$B$13/Formasjon!$B$19</f>
        <v>22659.54962224742</v>
      </c>
      <c r="E57" s="47">
        <f t="shared" si="1"/>
        <v>0.004860580423131346</v>
      </c>
      <c r="F57" s="48">
        <f t="shared" si="4"/>
        <v>63.9324927090246</v>
      </c>
      <c r="G57" s="49">
        <f t="shared" si="5"/>
        <v>0.000639324927090246</v>
      </c>
      <c r="H57" s="46">
        <f t="shared" si="6"/>
        <v>14051.403687006914</v>
      </c>
      <c r="I57" s="46">
        <f t="shared" si="7"/>
        <v>0.14051403687006914</v>
      </c>
      <c r="J57" s="49">
        <f t="shared" si="8"/>
        <v>0.14115336179715937</v>
      </c>
      <c r="K57" s="49">
        <f t="shared" si="9"/>
        <v>1.552686979768753</v>
      </c>
      <c r="L57" s="48">
        <f t="shared" si="10"/>
        <v>31085884.66382028</v>
      </c>
      <c r="M57" s="46" t="str">
        <f t="shared" si="2"/>
        <v>OK</v>
      </c>
      <c r="N57" s="49">
        <f>2*PI()*Formasjon!$B$7*Formasjon!$B$16*(Iterasjon!$B$2-Iterasjon!A57)/(Formasjon!$B$19*LN(Formasjon!$B$31/Formasjon!$B$30))</f>
        <v>0.02545278377834015</v>
      </c>
      <c r="O57" s="49">
        <f t="shared" si="11"/>
        <v>214115.33617971838</v>
      </c>
      <c r="P57" s="49">
        <f t="shared" si="12"/>
        <v>2.141153361797184</v>
      </c>
      <c r="Q57" s="6">
        <f t="shared" si="13"/>
        <v>0.01188741742299873</v>
      </c>
      <c r="X57" s="22"/>
    </row>
    <row r="58" spans="1:24" ht="12.75">
      <c r="A58" s="45">
        <f t="shared" si="15"/>
        <v>31150000</v>
      </c>
      <c r="B58" s="46">
        <f t="shared" si="3"/>
        <v>0.3247904867020653</v>
      </c>
      <c r="C58" s="46">
        <f t="shared" si="0"/>
        <v>1.0702779385695131</v>
      </c>
      <c r="D58" s="46">
        <f>690*B58*$B$13/Formasjon!$B$19</f>
        <v>16994.66221668556</v>
      </c>
      <c r="E58" s="47">
        <f t="shared" si="1"/>
        <v>0.0051901404419260715</v>
      </c>
      <c r="F58" s="48">
        <f t="shared" si="4"/>
        <v>38.400346302370636</v>
      </c>
      <c r="G58" s="49">
        <f t="shared" si="5"/>
        <v>0.00038400346302370635</v>
      </c>
      <c r="H58" s="46">
        <f t="shared" si="6"/>
        <v>7903.914573941385</v>
      </c>
      <c r="I58" s="46">
        <f t="shared" si="7"/>
        <v>0.07903914573941385</v>
      </c>
      <c r="J58" s="49">
        <f t="shared" si="8"/>
        <v>0.07942314920243757</v>
      </c>
      <c r="K58" s="49">
        <f t="shared" si="9"/>
        <v>0.8736546412268132</v>
      </c>
      <c r="L58" s="48">
        <f t="shared" si="10"/>
        <v>31142057.685079757</v>
      </c>
      <c r="M58" s="46" t="str">
        <f t="shared" si="2"/>
        <v>OK</v>
      </c>
      <c r="N58" s="49">
        <f>2*PI()*Formasjon!$B$7*Formasjon!$B$16*(Iterasjon!$B$2-Iterasjon!A58)/(Formasjon!$B$19*LN(Formasjon!$B$31/Formasjon!$B$30))</f>
        <v>0.019089587833755108</v>
      </c>
      <c r="O58" s="49">
        <f t="shared" si="11"/>
        <v>157942.31492024288</v>
      </c>
      <c r="P58" s="49">
        <f t="shared" si="12"/>
        <v>1.5794231492024287</v>
      </c>
      <c r="Q58" s="6">
        <f t="shared" si="13"/>
        <v>0.012086430316913425</v>
      </c>
      <c r="X58" s="22"/>
    </row>
    <row r="59" spans="1:24" ht="12.75">
      <c r="A59" s="45">
        <f t="shared" si="15"/>
        <v>31200000</v>
      </c>
      <c r="B59" s="46">
        <f t="shared" si="3"/>
        <v>0.21652699113471022</v>
      </c>
      <c r="C59" s="46">
        <f t="shared" si="0"/>
        <v>0.713518625713009</v>
      </c>
      <c r="D59" s="46">
        <f>690*B59*$B$13/Formasjon!$B$19</f>
        <v>11329.77481112371</v>
      </c>
      <c r="E59" s="47">
        <f t="shared" si="1"/>
        <v>0.005732661769236647</v>
      </c>
      <c r="F59" s="48">
        <f t="shared" si="4"/>
        <v>18.850802006116812</v>
      </c>
      <c r="G59" s="49">
        <f t="shared" si="5"/>
        <v>0.0001885080200611681</v>
      </c>
      <c r="H59" s="46">
        <f t="shared" si="6"/>
        <v>3512.8509217517285</v>
      </c>
      <c r="I59" s="46">
        <f t="shared" si="7"/>
        <v>0.035128509217517284</v>
      </c>
      <c r="J59" s="49">
        <f t="shared" si="8"/>
        <v>0.03531701723757845</v>
      </c>
      <c r="K59" s="49">
        <f t="shared" si="9"/>
        <v>0.3884871896133629</v>
      </c>
      <c r="L59" s="48">
        <f t="shared" si="10"/>
        <v>31196468.298276246</v>
      </c>
      <c r="M59" s="46" t="str">
        <f t="shared" si="2"/>
        <v>OK</v>
      </c>
      <c r="N59" s="49">
        <f>2*PI()*Formasjon!$B$7*Formasjon!$B$16*(Iterasjon!$B$2-Iterasjon!A59)/(Formasjon!$B$19*LN(Formasjon!$B$31/Formasjon!$B$30))</f>
        <v>0.012726391889170074</v>
      </c>
      <c r="O59" s="49">
        <f t="shared" si="11"/>
        <v>103531.7017237544</v>
      </c>
      <c r="P59" s="49">
        <f t="shared" si="12"/>
        <v>1.035317017237544</v>
      </c>
      <c r="Q59" s="6">
        <f t="shared" si="13"/>
        <v>0.012292265728546524</v>
      </c>
      <c r="X59" s="22"/>
    </row>
    <row r="60" spans="1:24" ht="12.75">
      <c r="A60" s="45">
        <f t="shared" si="15"/>
        <v>31250000</v>
      </c>
      <c r="B60" s="46">
        <f t="shared" si="3"/>
        <v>0.10826349556735511</v>
      </c>
      <c r="C60" s="46">
        <f t="shared" si="0"/>
        <v>0.3567593128565045</v>
      </c>
      <c r="D60" s="46">
        <f>690*B60*$B$13/Formasjon!$B$19</f>
        <v>5664.887405561855</v>
      </c>
      <c r="E60" s="47">
        <f t="shared" si="1"/>
        <v>0.0069231732963658515</v>
      </c>
      <c r="F60" s="48">
        <f t="shared" si="4"/>
        <v>5.691394953918847</v>
      </c>
      <c r="G60" s="49">
        <f t="shared" si="5"/>
        <v>5.691394953918847E-05</v>
      </c>
      <c r="H60" s="46">
        <f t="shared" si="6"/>
        <v>878.2127304379321</v>
      </c>
      <c r="I60" s="46">
        <f t="shared" si="7"/>
        <v>0.008782127304379321</v>
      </c>
      <c r="J60" s="49">
        <f t="shared" si="8"/>
        <v>0.00883904125391851</v>
      </c>
      <c r="K60" s="49">
        <f t="shared" si="9"/>
        <v>0.0972294537931036</v>
      </c>
      <c r="L60" s="48">
        <f t="shared" si="10"/>
        <v>31249116.095874608</v>
      </c>
      <c r="M60" s="46" t="str">
        <f t="shared" si="2"/>
        <v>OK</v>
      </c>
      <c r="N60" s="49">
        <f>2*PI()*Formasjon!$B$7*Formasjon!$B$16*(Iterasjon!$B$2-Iterasjon!A60)/(Formasjon!$B$19*LN(Formasjon!$B$31/Formasjon!$B$30))</f>
        <v>0.006363195944585037</v>
      </c>
      <c r="O60" s="49">
        <f t="shared" si="11"/>
        <v>50883.90412539244</v>
      </c>
      <c r="P60" s="49">
        <f t="shared" si="12"/>
        <v>0.5088390412539243</v>
      </c>
      <c r="Q60" s="6">
        <f t="shared" si="13"/>
        <v>0.012505321778974173</v>
      </c>
      <c r="X60" s="22"/>
    </row>
    <row r="61" spans="1:24" ht="12.75">
      <c r="A61" s="46">
        <f t="shared" si="15"/>
        <v>31300000</v>
      </c>
      <c r="B61" s="46">
        <f t="shared" si="3"/>
        <v>0</v>
      </c>
      <c r="C61" s="46">
        <f t="shared" si="0"/>
        <v>0</v>
      </c>
      <c r="D61" s="46">
        <f>690*B61*$B$13/Formasjon!$B$19</f>
        <v>0</v>
      </c>
      <c r="E61" s="47">
        <v>0</v>
      </c>
      <c r="F61" s="48">
        <f t="shared" si="4"/>
        <v>0</v>
      </c>
      <c r="G61" s="49">
        <f t="shared" si="5"/>
        <v>0</v>
      </c>
      <c r="H61" s="46">
        <f t="shared" si="6"/>
        <v>0</v>
      </c>
      <c r="I61" s="46">
        <f t="shared" si="7"/>
        <v>0</v>
      </c>
      <c r="J61" s="49">
        <f t="shared" si="8"/>
        <v>0</v>
      </c>
      <c r="K61" s="49">
        <f t="shared" si="9"/>
        <v>0</v>
      </c>
      <c r="L61" s="48">
        <f t="shared" si="10"/>
        <v>31300000</v>
      </c>
      <c r="M61" s="46" t="str">
        <f t="shared" si="2"/>
        <v>OK</v>
      </c>
      <c r="N61" s="49">
        <f>2*PI()*Formasjon!$B$7*Formasjon!$B$16*(Iterasjon!$B$2-Iterasjon!A61)/(Formasjon!$B$19*LN(Formasjon!$B$31/Formasjon!$B$30))</f>
        <v>0</v>
      </c>
      <c r="O61" s="49">
        <f t="shared" si="11"/>
        <v>0</v>
      </c>
      <c r="P61" s="49">
        <f t="shared" si="12"/>
        <v>0</v>
      </c>
      <c r="Q61" s="6">
        <v>0</v>
      </c>
      <c r="X61" s="22"/>
    </row>
    <row r="62" spans="1:24" ht="13.5" thickBot="1">
      <c r="A62" s="51"/>
      <c r="B62" s="36"/>
      <c r="C62" s="36"/>
      <c r="D62" s="36"/>
      <c r="E62" s="79"/>
      <c r="F62" s="50"/>
      <c r="G62" s="53"/>
      <c r="H62" s="36"/>
      <c r="I62" s="36"/>
      <c r="J62" s="53"/>
      <c r="K62" s="53"/>
      <c r="L62" s="50"/>
      <c r="M62" s="36"/>
      <c r="N62" s="53"/>
      <c r="O62" s="53"/>
      <c r="P62" s="53"/>
      <c r="Q62" s="9"/>
      <c r="X62" s="22"/>
    </row>
    <row r="63" spans="1:24" ht="12.75">
      <c r="A63" s="45"/>
      <c r="B63" s="46"/>
      <c r="C63" s="46"/>
      <c r="D63" s="46"/>
      <c r="E63" s="47"/>
      <c r="F63" s="48"/>
      <c r="G63" s="49"/>
      <c r="H63" s="46"/>
      <c r="I63" s="46"/>
      <c r="J63" s="49"/>
      <c r="K63" s="49"/>
      <c r="L63" s="48"/>
      <c r="M63" s="46"/>
      <c r="N63" s="49"/>
      <c r="O63" s="49"/>
      <c r="P63" s="49"/>
      <c r="Q63" s="5"/>
      <c r="R63" s="5"/>
      <c r="X63" s="22"/>
    </row>
    <row r="64" spans="1:18" ht="12.75">
      <c r="A64" s="45"/>
      <c r="B64" s="5"/>
      <c r="C64" s="5"/>
      <c r="D64" s="5"/>
      <c r="E64" s="5"/>
      <c r="F64" s="5"/>
      <c r="G64" s="5"/>
      <c r="H64" s="5"/>
      <c r="I64" s="5"/>
      <c r="J64" s="5"/>
      <c r="K64" s="5"/>
      <c r="L64" s="48"/>
      <c r="M64" s="5"/>
      <c r="N64" s="5"/>
      <c r="O64" s="5"/>
      <c r="P64" s="5"/>
      <c r="Q64" s="5"/>
      <c r="R64" s="5"/>
    </row>
    <row r="65" ht="12.75">
      <c r="L65" s="26"/>
    </row>
    <row r="66" ht="12.75">
      <c r="L66" s="26"/>
    </row>
    <row r="67" ht="12.75">
      <c r="L67" s="26"/>
    </row>
    <row r="68" ht="12.75">
      <c r="L68" s="26"/>
    </row>
    <row r="69" spans="1:17" ht="27" thickBot="1">
      <c r="A69" s="8"/>
      <c r="B69" s="8"/>
      <c r="C69" s="8"/>
      <c r="D69" s="8"/>
      <c r="E69" s="8"/>
      <c r="F69" s="8"/>
      <c r="G69" s="28" t="s">
        <v>92</v>
      </c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2.75">
      <c r="A70" s="41" t="s">
        <v>58</v>
      </c>
      <c r="B70" s="29" t="s">
        <v>65</v>
      </c>
      <c r="C70" s="29" t="s">
        <v>68</v>
      </c>
      <c r="D70" s="29" t="s">
        <v>77</v>
      </c>
      <c r="E70" s="29" t="s">
        <v>85</v>
      </c>
      <c r="F70" s="29" t="s">
        <v>66</v>
      </c>
      <c r="G70" s="29" t="str">
        <f>F70</f>
        <v>DP-screen</v>
      </c>
      <c r="H70" s="29" t="s">
        <v>67</v>
      </c>
      <c r="I70" s="29" t="str">
        <f>H70</f>
        <v>DP-dyser</v>
      </c>
      <c r="J70" s="29" t="s">
        <v>88</v>
      </c>
      <c r="K70" s="29" t="s">
        <v>89</v>
      </c>
      <c r="L70" s="29" t="s">
        <v>25</v>
      </c>
      <c r="M70" s="29" t="s">
        <v>95</v>
      </c>
      <c r="N70" s="29" t="s">
        <v>26</v>
      </c>
      <c r="O70" s="29" t="s">
        <v>78</v>
      </c>
      <c r="P70" s="29"/>
      <c r="Q70" s="42" t="s">
        <v>50</v>
      </c>
    </row>
    <row r="71" spans="1:17" ht="13.5" thickBot="1">
      <c r="A71" s="43" t="s">
        <v>70</v>
      </c>
      <c r="B71" s="13" t="s">
        <v>69</v>
      </c>
      <c r="C71" s="13" t="str">
        <f>B71</f>
        <v>[m/s]</v>
      </c>
      <c r="D71" s="13"/>
      <c r="E71" s="13"/>
      <c r="F71" s="13" t="s">
        <v>70</v>
      </c>
      <c r="G71" s="13" t="s">
        <v>87</v>
      </c>
      <c r="H71" s="13" t="s">
        <v>70</v>
      </c>
      <c r="I71" s="13" t="s">
        <v>80</v>
      </c>
      <c r="J71" s="13" t="s">
        <v>87</v>
      </c>
      <c r="K71" s="13" t="str">
        <f>J71</f>
        <v>[bar]</v>
      </c>
      <c r="L71" s="13" t="s">
        <v>70</v>
      </c>
      <c r="M71" s="13" t="s">
        <v>96</v>
      </c>
      <c r="N71" s="13" t="s">
        <v>71</v>
      </c>
      <c r="O71" s="13" t="s">
        <v>70</v>
      </c>
      <c r="P71" s="13" t="s">
        <v>80</v>
      </c>
      <c r="Q71" s="44" t="s">
        <v>90</v>
      </c>
    </row>
    <row r="72" spans="1:17" ht="12.75">
      <c r="A72" s="45">
        <v>0</v>
      </c>
      <c r="B72" s="46">
        <f>N72/($B$5*$I$6)</f>
        <v>283.42951992344763</v>
      </c>
      <c r="C72" s="46">
        <f aca="true" t="shared" si="16" ref="C72:C109">N72/(PI()/4*($I$5*$I$6*$B$8^2))</f>
        <v>1037.7574150223732</v>
      </c>
      <c r="D72" s="46">
        <f>690*B72*$B$13/Formasjon!$B$19</f>
        <v>14830449.629994394</v>
      </c>
      <c r="E72" s="47">
        <f aca="true" t="shared" si="17" ref="E72:E108">IF(D72&gt;2300,fturb(D72),flam(D72))</f>
        <v>0.003040535511303507</v>
      </c>
      <c r="F72" s="48">
        <f aca="true" t="shared" si="18" ref="F72:F109">E72*$B$9/$B$13*690/2*B72^2</f>
        <v>17131274.48194884</v>
      </c>
      <c r="G72" s="49">
        <f>F72/10^5</f>
        <v>171.31274481948842</v>
      </c>
      <c r="H72" s="46">
        <f>0.5*690*C72^2*$I$5</f>
        <v>6687800209.614632</v>
      </c>
      <c r="I72" s="46">
        <f>H72/10^5</f>
        <v>66878.00209614632</v>
      </c>
      <c r="J72" s="49">
        <f>I72+G72</f>
        <v>67049.3148409658</v>
      </c>
      <c r="K72" s="49">
        <f>J72*$I$6</f>
        <v>335246.574204829</v>
      </c>
      <c r="L72" s="48">
        <f>$B$2-($B$2-A72)-F72-H72</f>
        <v>-6704931484.0965805</v>
      </c>
      <c r="M72" s="46" t="str">
        <f aca="true" t="shared" si="19" ref="M72:M109">IF(L72&gt;D162,"OK","NOT OK")</f>
        <v>NOT OK</v>
      </c>
      <c r="N72" s="49">
        <f>2*PI()*Formasjon!$C$7*Formasjon!$C$16*(Iterasjon!$B$2-Iterasjon!A72)/(Formasjon!$C$19*LN(Formasjon!$B$31/Formasjon!$B$30))</f>
        <v>7.572087989002403</v>
      </c>
      <c r="O72" s="49">
        <f>$B$2-L72</f>
        <v>6736231484.0965805</v>
      </c>
      <c r="P72" s="49">
        <f>O72/10^5</f>
        <v>67362.3148409658</v>
      </c>
      <c r="Q72" s="6">
        <f>N72/P72</f>
        <v>0.00011240836967790045</v>
      </c>
    </row>
    <row r="73" spans="1:17" ht="12.75">
      <c r="A73" s="45">
        <f>A72+10*10^5</f>
        <v>1000000</v>
      </c>
      <c r="B73" s="46">
        <f aca="true" t="shared" si="20" ref="B73:B109">N73/($B$5*$I$6)</f>
        <v>274.3742636958615</v>
      </c>
      <c r="C73" s="46">
        <f t="shared" si="16"/>
        <v>1004.6022260440226</v>
      </c>
      <c r="D73" s="46">
        <f>690*B73*$B$13/Formasjon!$B$19</f>
        <v>14356633.34788595</v>
      </c>
      <c r="E73" s="47">
        <f t="shared" si="17"/>
        <v>0.003040755558395523</v>
      </c>
      <c r="F73" s="48">
        <f t="shared" si="18"/>
        <v>16055272.633727891</v>
      </c>
      <c r="G73" s="49">
        <f aca="true" t="shared" si="21" ref="G73:G109">F73/10^5</f>
        <v>160.55272633727893</v>
      </c>
      <c r="H73" s="46">
        <f aca="true" t="shared" si="22" ref="H73:H109">0.5*690*C73^2*$I$5</f>
        <v>6267291178.27588</v>
      </c>
      <c r="I73" s="46">
        <f aca="true" t="shared" si="23" ref="I73:I109">H73/10^5</f>
        <v>62672.9117827588</v>
      </c>
      <c r="J73" s="49">
        <f aca="true" t="shared" si="24" ref="J73:J109">I73+G73</f>
        <v>62833.46450909608</v>
      </c>
      <c r="K73" s="49">
        <f aca="true" t="shared" si="25" ref="K73:K109">J73*$I$6</f>
        <v>314167.3225454804</v>
      </c>
      <c r="L73" s="48">
        <f aca="true" t="shared" si="26" ref="L73:L109">$B$2-($B$2-A73)-F73-H73</f>
        <v>-6282346450.909608</v>
      </c>
      <c r="M73" s="46" t="str">
        <f t="shared" si="19"/>
        <v>NOT OK</v>
      </c>
      <c r="N73" s="49">
        <f>2*PI()*Formasjon!$C$7*Formasjon!$C$16*(Iterasjon!$B$2-Iterasjon!A73)/(Formasjon!$C$19*LN(Formasjon!$B$31/Formasjon!$B$30))</f>
        <v>7.330168244944819</v>
      </c>
      <c r="O73" s="49">
        <f aca="true" t="shared" si="27" ref="O73:O109">$B$2-L73</f>
        <v>6313646450.909608</v>
      </c>
      <c r="P73" s="49">
        <f aca="true" t="shared" si="28" ref="P73:P109">O73/10^5</f>
        <v>63136.46450909608</v>
      </c>
      <c r="Q73" s="6">
        <f aca="true" t="shared" si="29" ref="Q73:Q108">N73/P73</f>
        <v>0.0001161003914606077</v>
      </c>
    </row>
    <row r="74" spans="1:17" ht="12.75">
      <c r="A74" s="45">
        <f aca="true" t="shared" si="30" ref="A74:A103">A73+10*10^5</f>
        <v>2000000</v>
      </c>
      <c r="B74" s="46">
        <f t="shared" si="20"/>
        <v>265.3190074682753</v>
      </c>
      <c r="C74" s="46">
        <f t="shared" si="16"/>
        <v>971.447037065672</v>
      </c>
      <c r="D74" s="46">
        <f>690*B74*$B$13/Formasjon!$B$19</f>
        <v>13882817.065777501</v>
      </c>
      <c r="E74" s="47">
        <f t="shared" si="17"/>
        <v>0.003040990563555645</v>
      </c>
      <c r="F74" s="48">
        <f t="shared" si="18"/>
        <v>15014166.63577303</v>
      </c>
      <c r="G74" s="49">
        <f t="shared" si="21"/>
        <v>150.1416663577303</v>
      </c>
      <c r="H74" s="46">
        <f t="shared" si="22"/>
        <v>5860435037.565011</v>
      </c>
      <c r="I74" s="46">
        <f t="shared" si="23"/>
        <v>58604.35037565011</v>
      </c>
      <c r="J74" s="49">
        <f t="shared" si="24"/>
        <v>58754.49204200784</v>
      </c>
      <c r="K74" s="49">
        <f t="shared" si="25"/>
        <v>293772.4602100392</v>
      </c>
      <c r="L74" s="48">
        <f t="shared" si="26"/>
        <v>-5873449204.200784</v>
      </c>
      <c r="M74" s="46" t="str">
        <f t="shared" si="19"/>
        <v>NOT OK</v>
      </c>
      <c r="N74" s="49">
        <f>2*PI()*Formasjon!$C$7*Formasjon!$C$16*(Iterasjon!$B$2-Iterasjon!A74)/(Formasjon!$C$19*LN(Formasjon!$B$31/Formasjon!$B$30))</f>
        <v>7.088248500887234</v>
      </c>
      <c r="O74" s="49">
        <f t="shared" si="27"/>
        <v>5904749204.200784</v>
      </c>
      <c r="P74" s="49">
        <f t="shared" si="28"/>
        <v>59047.492042007834</v>
      </c>
      <c r="Q74" s="6">
        <f t="shared" si="29"/>
        <v>0.00012004317636123275</v>
      </c>
    </row>
    <row r="75" spans="1:17" ht="12.75">
      <c r="A75" s="45">
        <f t="shared" si="30"/>
        <v>3000000</v>
      </c>
      <c r="B75" s="46">
        <f t="shared" si="20"/>
        <v>256.2637512406891</v>
      </c>
      <c r="C75" s="46">
        <f t="shared" si="16"/>
        <v>938.2918480873213</v>
      </c>
      <c r="D75" s="46">
        <f>690*B75*$B$13/Formasjon!$B$19</f>
        <v>13409000.783669055</v>
      </c>
      <c r="E75" s="47">
        <f t="shared" si="17"/>
        <v>0.00304124210566541</v>
      </c>
      <c r="F75" s="48">
        <f t="shared" si="18"/>
        <v>14007956.488307498</v>
      </c>
      <c r="G75" s="49">
        <f t="shared" si="21"/>
        <v>140.079564883075</v>
      </c>
      <c r="H75" s="46">
        <f t="shared" si="22"/>
        <v>5467231787.482021</v>
      </c>
      <c r="I75" s="46">
        <f t="shared" si="23"/>
        <v>54672.31787482021</v>
      </c>
      <c r="J75" s="49">
        <f t="shared" si="24"/>
        <v>54812.39743970329</v>
      </c>
      <c r="K75" s="49">
        <f t="shared" si="25"/>
        <v>274061.98719851644</v>
      </c>
      <c r="L75" s="48">
        <f t="shared" si="26"/>
        <v>-5478239743.970329</v>
      </c>
      <c r="M75" s="46" t="str">
        <f t="shared" si="19"/>
        <v>NOT OK</v>
      </c>
      <c r="N75" s="49">
        <f>2*PI()*Formasjon!$C$7*Formasjon!$C$16*(Iterasjon!$B$2-Iterasjon!A75)/(Formasjon!$C$19*LN(Formasjon!$B$31/Formasjon!$B$30))</f>
        <v>6.8463287568296485</v>
      </c>
      <c r="O75" s="49">
        <f t="shared" si="27"/>
        <v>5509539743.970329</v>
      </c>
      <c r="P75" s="49">
        <f t="shared" si="28"/>
        <v>55095.397439703294</v>
      </c>
      <c r="Q75" s="6">
        <f t="shared" si="29"/>
        <v>0.00012426317033691078</v>
      </c>
    </row>
    <row r="76" spans="1:17" ht="12.75">
      <c r="A76" s="45">
        <f t="shared" si="30"/>
        <v>4000000</v>
      </c>
      <c r="B76" s="46">
        <f t="shared" si="20"/>
        <v>247.20849501310292</v>
      </c>
      <c r="C76" s="46">
        <f t="shared" si="16"/>
        <v>905.1366591089709</v>
      </c>
      <c r="D76" s="46">
        <f>690*B76*$B$13/Formasjon!$B$19</f>
        <v>12935184.501560608</v>
      </c>
      <c r="E76" s="47">
        <f t="shared" si="17"/>
        <v>0.0030415119939221644</v>
      </c>
      <c r="F76" s="48">
        <f t="shared" si="18"/>
        <v>13036642.191586945</v>
      </c>
      <c r="G76" s="49">
        <f t="shared" si="21"/>
        <v>130.36642191586944</v>
      </c>
      <c r="H76" s="46">
        <f t="shared" si="22"/>
        <v>5087681428.026916</v>
      </c>
      <c r="I76" s="46">
        <f t="shared" si="23"/>
        <v>50876.81428026916</v>
      </c>
      <c r="J76" s="49">
        <f t="shared" si="24"/>
        <v>51007.180702185025</v>
      </c>
      <c r="K76" s="49">
        <f t="shared" si="25"/>
        <v>255035.90351092513</v>
      </c>
      <c r="L76" s="48">
        <f t="shared" si="26"/>
        <v>-5096718070.218502</v>
      </c>
      <c r="M76" s="46" t="str">
        <f t="shared" si="19"/>
        <v>NOT OK</v>
      </c>
      <c r="N76" s="49">
        <f>2*PI()*Formasjon!$C$7*Formasjon!$C$16*(Iterasjon!$B$2-Iterasjon!A76)/(Formasjon!$C$19*LN(Formasjon!$B$31/Formasjon!$B$30))</f>
        <v>6.604409012772065</v>
      </c>
      <c r="O76" s="49">
        <f t="shared" si="27"/>
        <v>5128018070.218502</v>
      </c>
      <c r="P76" s="49">
        <f t="shared" si="28"/>
        <v>51280.18070218502</v>
      </c>
      <c r="Q76" s="6">
        <f t="shared" si="29"/>
        <v>0.00012879067355725318</v>
      </c>
    </row>
    <row r="77" spans="1:17" ht="12.75">
      <c r="A77" s="45">
        <f t="shared" si="30"/>
        <v>5000000</v>
      </c>
      <c r="B77" s="46">
        <f t="shared" si="20"/>
        <v>238.1532387855167</v>
      </c>
      <c r="C77" s="46">
        <f t="shared" si="16"/>
        <v>871.9814701306202</v>
      </c>
      <c r="D77" s="46">
        <f>690*B77*$B$13/Formasjon!$B$19</f>
        <v>12461368.219452158</v>
      </c>
      <c r="E77" s="47">
        <f t="shared" si="17"/>
        <v>0.0030418023114251774</v>
      </c>
      <c r="F77" s="48">
        <f t="shared" si="18"/>
        <v>12100223.745905567</v>
      </c>
      <c r="G77" s="49">
        <f t="shared" si="21"/>
        <v>121.00223745905566</v>
      </c>
      <c r="H77" s="46">
        <f t="shared" si="22"/>
        <v>4721783959.199689</v>
      </c>
      <c r="I77" s="46">
        <f t="shared" si="23"/>
        <v>47217.83959199689</v>
      </c>
      <c r="J77" s="49">
        <f t="shared" si="24"/>
        <v>47338.841829455945</v>
      </c>
      <c r="K77" s="49">
        <f t="shared" si="25"/>
        <v>236694.20914727973</v>
      </c>
      <c r="L77" s="48">
        <f t="shared" si="26"/>
        <v>-4728884182.945595</v>
      </c>
      <c r="M77" s="46" t="str">
        <f t="shared" si="19"/>
        <v>NOT OK</v>
      </c>
      <c r="N77" s="49">
        <f>2*PI()*Formasjon!$C$7*Formasjon!$C$16*(Iterasjon!$B$2-Iterasjon!A77)/(Formasjon!$C$19*LN(Formasjon!$B$31/Formasjon!$B$30))</f>
        <v>6.362489268714479</v>
      </c>
      <c r="O77" s="49">
        <f t="shared" si="27"/>
        <v>4760184182.945595</v>
      </c>
      <c r="P77" s="49">
        <f t="shared" si="28"/>
        <v>47601.841829455945</v>
      </c>
      <c r="Q77" s="6">
        <f t="shared" si="29"/>
        <v>0.0001336605690912023</v>
      </c>
    </row>
    <row r="78" spans="1:17" ht="12.75">
      <c r="A78" s="45">
        <f t="shared" si="30"/>
        <v>6000000</v>
      </c>
      <c r="B78" s="46">
        <f t="shared" si="20"/>
        <v>229.09798255793055</v>
      </c>
      <c r="C78" s="46">
        <f t="shared" si="16"/>
        <v>838.8262811522698</v>
      </c>
      <c r="D78" s="46">
        <f>690*B78*$B$13/Formasjon!$B$19</f>
        <v>11987551.937343715</v>
      </c>
      <c r="E78" s="47">
        <f t="shared" si="17"/>
        <v>0.0030421154690493933</v>
      </c>
      <c r="F78" s="48">
        <f t="shared" si="18"/>
        <v>11198701.151603628</v>
      </c>
      <c r="G78" s="49">
        <f t="shared" si="21"/>
        <v>111.98701151603628</v>
      </c>
      <c r="H78" s="46">
        <f t="shared" si="22"/>
        <v>4369539381.000347</v>
      </c>
      <c r="I78" s="46">
        <f t="shared" si="23"/>
        <v>43695.39381000347</v>
      </c>
      <c r="J78" s="49">
        <f t="shared" si="24"/>
        <v>43807.38082151951</v>
      </c>
      <c r="K78" s="49">
        <f t="shared" si="25"/>
        <v>219036.90410759754</v>
      </c>
      <c r="L78" s="48">
        <f t="shared" si="26"/>
        <v>-4374738082.151951</v>
      </c>
      <c r="M78" s="46" t="str">
        <f t="shared" si="19"/>
        <v>NOT OK</v>
      </c>
      <c r="N78" s="49">
        <f>2*PI()*Formasjon!$C$7*Formasjon!$C$16*(Iterasjon!$B$2-Iterasjon!A78)/(Formasjon!$C$19*LN(Formasjon!$B$31/Formasjon!$B$30))</f>
        <v>6.120569524656895</v>
      </c>
      <c r="O78" s="49">
        <f t="shared" si="27"/>
        <v>4406038082.151951</v>
      </c>
      <c r="P78" s="49">
        <f t="shared" si="28"/>
        <v>44060.38082151951</v>
      </c>
      <c r="Q78" s="6">
        <f t="shared" si="29"/>
        <v>0.00013891322341153147</v>
      </c>
    </row>
    <row r="79" spans="1:17" ht="12.75">
      <c r="A79" s="45">
        <f t="shared" si="30"/>
        <v>7000000</v>
      </c>
      <c r="B79" s="46">
        <f t="shared" si="20"/>
        <v>220.04272633034435</v>
      </c>
      <c r="C79" s="46">
        <f t="shared" si="16"/>
        <v>805.6710921739191</v>
      </c>
      <c r="D79" s="46">
        <f>690*B79*$B$13/Formasjon!$B$19</f>
        <v>11513735.655235266</v>
      </c>
      <c r="E79" s="47">
        <f t="shared" si="17"/>
        <v>0.003042454272555831</v>
      </c>
      <c r="F79" s="48">
        <f t="shared" si="18"/>
        <v>10332074.409076827</v>
      </c>
      <c r="G79" s="49">
        <f t="shared" si="21"/>
        <v>103.32074409076827</v>
      </c>
      <c r="H79" s="46">
        <f t="shared" si="22"/>
        <v>4030947693.428884</v>
      </c>
      <c r="I79" s="46">
        <f t="shared" si="23"/>
        <v>40309.47693428884</v>
      </c>
      <c r="J79" s="49">
        <f t="shared" si="24"/>
        <v>40412.79767837961</v>
      </c>
      <c r="K79" s="49">
        <f t="shared" si="25"/>
        <v>202063.98839189805</v>
      </c>
      <c r="L79" s="48">
        <f t="shared" si="26"/>
        <v>-4034279767.8379607</v>
      </c>
      <c r="M79" s="46" t="str">
        <f t="shared" si="19"/>
        <v>NOT OK</v>
      </c>
      <c r="N79" s="49">
        <f>2*PI()*Formasjon!$C$7*Formasjon!$C$16*(Iterasjon!$B$2-Iterasjon!A79)/(Formasjon!$C$19*LN(Formasjon!$B$31/Formasjon!$B$30))</f>
        <v>5.87864978059931</v>
      </c>
      <c r="O79" s="49">
        <f t="shared" si="27"/>
        <v>4065579767.8379607</v>
      </c>
      <c r="P79" s="49">
        <f t="shared" si="28"/>
        <v>40655.797678379604</v>
      </c>
      <c r="Q79" s="6">
        <f t="shared" si="29"/>
        <v>0.00014459560791560915</v>
      </c>
    </row>
    <row r="80" spans="1:17" ht="12.75">
      <c r="A80" s="45">
        <f t="shared" si="30"/>
        <v>8000000</v>
      </c>
      <c r="B80" s="46">
        <f t="shared" si="20"/>
        <v>210.98747010275815</v>
      </c>
      <c r="C80" s="46">
        <f t="shared" si="16"/>
        <v>772.5159031955685</v>
      </c>
      <c r="D80" s="46">
        <f>690*B80*$B$13/Formasjon!$B$19</f>
        <v>11039919.373126818</v>
      </c>
      <c r="E80" s="47">
        <f t="shared" si="17"/>
        <v>0.003042822006894921</v>
      </c>
      <c r="F80" s="48">
        <f t="shared" si="18"/>
        <v>9500343.518788153</v>
      </c>
      <c r="G80" s="49">
        <f t="shared" si="21"/>
        <v>95.00343518788154</v>
      </c>
      <c r="H80" s="46">
        <f t="shared" si="22"/>
        <v>3706008896.4853034</v>
      </c>
      <c r="I80" s="46">
        <f t="shared" si="23"/>
        <v>37060.088964853036</v>
      </c>
      <c r="J80" s="49">
        <f t="shared" si="24"/>
        <v>37155.092400040914</v>
      </c>
      <c r="K80" s="49">
        <f t="shared" si="25"/>
        <v>185775.46200020457</v>
      </c>
      <c r="L80" s="48">
        <f t="shared" si="26"/>
        <v>-3707509240.0040917</v>
      </c>
      <c r="M80" s="46" t="str">
        <f t="shared" si="19"/>
        <v>NOT OK</v>
      </c>
      <c r="N80" s="49">
        <f>2*PI()*Formasjon!$C$7*Formasjon!$C$16*(Iterasjon!$B$2-Iterasjon!A80)/(Formasjon!$C$19*LN(Formasjon!$B$31/Formasjon!$B$30))</f>
        <v>5.636730036541725</v>
      </c>
      <c r="O80" s="49">
        <f t="shared" si="27"/>
        <v>3738809240.0040917</v>
      </c>
      <c r="P80" s="49">
        <f t="shared" si="28"/>
        <v>37388.092400040914</v>
      </c>
      <c r="Q80" s="6">
        <f t="shared" si="29"/>
        <v>0.00015076270744788137</v>
      </c>
    </row>
    <row r="81" spans="1:17" ht="12.75">
      <c r="A81" s="45">
        <f t="shared" si="30"/>
        <v>9000000</v>
      </c>
      <c r="B81" s="46">
        <f t="shared" si="20"/>
        <v>201.93221387517198</v>
      </c>
      <c r="C81" s="46">
        <f t="shared" si="16"/>
        <v>739.360714217218</v>
      </c>
      <c r="D81" s="46">
        <f>690*B81*$B$13/Formasjon!$B$19</f>
        <v>10566103.091018371</v>
      </c>
      <c r="E81" s="47">
        <f t="shared" si="17"/>
        <v>0.00304322254307081</v>
      </c>
      <c r="F81" s="48">
        <f t="shared" si="18"/>
        <v>8703508.481282724</v>
      </c>
      <c r="G81" s="49">
        <f t="shared" si="21"/>
        <v>87.03508481282724</v>
      </c>
      <c r="H81" s="46">
        <f t="shared" si="22"/>
        <v>3394722990.1696043</v>
      </c>
      <c r="I81" s="46">
        <f t="shared" si="23"/>
        <v>33947.229901696046</v>
      </c>
      <c r="J81" s="49">
        <f t="shared" si="24"/>
        <v>34034.264986508875</v>
      </c>
      <c r="K81" s="49">
        <f t="shared" si="25"/>
        <v>170171.32493254438</v>
      </c>
      <c r="L81" s="48">
        <f t="shared" si="26"/>
        <v>-3394426498.650887</v>
      </c>
      <c r="M81" s="46" t="str">
        <f t="shared" si="19"/>
        <v>NOT OK</v>
      </c>
      <c r="N81" s="49">
        <f>2*PI()*Formasjon!$C$7*Formasjon!$C$16*(Iterasjon!$B$2-Iterasjon!A81)/(Formasjon!$C$19*LN(Formasjon!$B$31/Formasjon!$B$30))</f>
        <v>5.394810292484141</v>
      </c>
      <c r="O81" s="49">
        <f t="shared" si="27"/>
        <v>3425726498.650887</v>
      </c>
      <c r="P81" s="49">
        <f t="shared" si="28"/>
        <v>34257.26498650887</v>
      </c>
      <c r="Q81" s="6">
        <f t="shared" si="29"/>
        <v>0.00015747930532716825</v>
      </c>
    </row>
    <row r="82" spans="1:17" ht="12.75">
      <c r="A82" s="45">
        <f t="shared" si="30"/>
        <v>10000000</v>
      </c>
      <c r="B82" s="46">
        <f t="shared" si="20"/>
        <v>192.87695764758578</v>
      </c>
      <c r="C82" s="46">
        <f t="shared" si="16"/>
        <v>706.2055252388674</v>
      </c>
      <c r="D82" s="46">
        <f>690*B82*$B$13/Formasjon!$B$19</f>
        <v>10092286.808909923</v>
      </c>
      <c r="E82" s="47">
        <f t="shared" si="17"/>
        <v>0.003043660474939674</v>
      </c>
      <c r="F82" s="48">
        <f t="shared" si="18"/>
        <v>7941569.297206895</v>
      </c>
      <c r="G82" s="49">
        <f t="shared" si="21"/>
        <v>79.41569297206895</v>
      </c>
      <c r="H82" s="46">
        <f t="shared" si="22"/>
        <v>3097089974.481787</v>
      </c>
      <c r="I82" s="46">
        <f t="shared" si="23"/>
        <v>30970.89974481787</v>
      </c>
      <c r="J82" s="49">
        <f t="shared" si="24"/>
        <v>31050.31543778994</v>
      </c>
      <c r="K82" s="49">
        <f t="shared" si="25"/>
        <v>155251.5771889497</v>
      </c>
      <c r="L82" s="48">
        <f t="shared" si="26"/>
        <v>-3095031543.778994</v>
      </c>
      <c r="M82" s="46" t="str">
        <f t="shared" si="19"/>
        <v>NOT OK</v>
      </c>
      <c r="N82" s="49">
        <f>2*PI()*Formasjon!$C$7*Formasjon!$C$16*(Iterasjon!$B$2-Iterasjon!A82)/(Formasjon!$C$19*LN(Formasjon!$B$31/Formasjon!$B$30))</f>
        <v>5.152890548426556</v>
      </c>
      <c r="O82" s="49">
        <f t="shared" si="27"/>
        <v>3126331543.778994</v>
      </c>
      <c r="P82" s="49">
        <f t="shared" si="28"/>
        <v>31263.31543778994</v>
      </c>
      <c r="Q82" s="6">
        <f t="shared" si="29"/>
        <v>0.0001648222677687579</v>
      </c>
    </row>
    <row r="83" spans="1:17" ht="12.75">
      <c r="A83" s="45">
        <f t="shared" si="30"/>
        <v>11000000</v>
      </c>
      <c r="B83" s="46">
        <f t="shared" si="20"/>
        <v>183.8217014199996</v>
      </c>
      <c r="C83" s="46">
        <f t="shared" si="16"/>
        <v>673.0503362605168</v>
      </c>
      <c r="D83" s="46">
        <f>690*B83*$B$13/Formasjon!$B$19</f>
        <v>9618470.526801476</v>
      </c>
      <c r="E83" s="47">
        <f t="shared" si="17"/>
        <v>0.0030441412962036256</v>
      </c>
      <c r="F83" s="48">
        <f t="shared" si="18"/>
        <v>7214525.967332909</v>
      </c>
      <c r="G83" s="49">
        <f t="shared" si="21"/>
        <v>72.1452596733291</v>
      </c>
      <c r="H83" s="46">
        <f t="shared" si="22"/>
        <v>2813109849.421851</v>
      </c>
      <c r="I83" s="46">
        <f t="shared" si="23"/>
        <v>28131.098494218513</v>
      </c>
      <c r="J83" s="49">
        <f t="shared" si="24"/>
        <v>28203.243753891842</v>
      </c>
      <c r="K83" s="49">
        <f t="shared" si="25"/>
        <v>141016.2187694592</v>
      </c>
      <c r="L83" s="48">
        <f t="shared" si="26"/>
        <v>-2809324375.389184</v>
      </c>
      <c r="M83" s="46" t="str">
        <f t="shared" si="19"/>
        <v>NOT OK</v>
      </c>
      <c r="N83" s="49">
        <f>2*PI()*Formasjon!$C$7*Formasjon!$C$16*(Iterasjon!$B$2-Iterasjon!A83)/(Formasjon!$C$19*LN(Formasjon!$B$31/Formasjon!$B$30))</f>
        <v>4.910970804368971</v>
      </c>
      <c r="O83" s="49">
        <f t="shared" si="27"/>
        <v>2840624375.389184</v>
      </c>
      <c r="P83" s="49">
        <f t="shared" si="28"/>
        <v>28406.24375389184</v>
      </c>
      <c r="Q83" s="6">
        <f t="shared" si="29"/>
        <v>0.00017288349867434116</v>
      </c>
    </row>
    <row r="84" spans="1:17" ht="12.75">
      <c r="A84" s="45">
        <f t="shared" si="30"/>
        <v>12000000</v>
      </c>
      <c r="B84" s="46">
        <f t="shared" si="20"/>
        <v>174.76644519241339</v>
      </c>
      <c r="C84" s="46">
        <f t="shared" si="16"/>
        <v>639.8951472821661</v>
      </c>
      <c r="D84" s="46">
        <f>690*B84*$B$13/Formasjon!$B$19</f>
        <v>9144654.24469303</v>
      </c>
      <c r="E84" s="47">
        <f t="shared" si="17"/>
        <v>0.0030446716320893484</v>
      </c>
      <c r="F84" s="48">
        <f t="shared" si="18"/>
        <v>6522378.4925910765</v>
      </c>
      <c r="G84" s="49">
        <f t="shared" si="21"/>
        <v>65.22378492591076</v>
      </c>
      <c r="H84" s="46">
        <f t="shared" si="22"/>
        <v>2542782614.9897966</v>
      </c>
      <c r="I84" s="46">
        <f t="shared" si="23"/>
        <v>25427.826149897966</v>
      </c>
      <c r="J84" s="49">
        <f t="shared" si="24"/>
        <v>25493.049934823877</v>
      </c>
      <c r="K84" s="49">
        <f t="shared" si="25"/>
        <v>127465.24967411939</v>
      </c>
      <c r="L84" s="48">
        <f t="shared" si="26"/>
        <v>-2537304993.4823875</v>
      </c>
      <c r="M84" s="46" t="str">
        <f t="shared" si="19"/>
        <v>NOT OK</v>
      </c>
      <c r="N84" s="49">
        <f>2*PI()*Formasjon!$C$7*Formasjon!$C$16*(Iterasjon!$B$2-Iterasjon!A84)/(Formasjon!$C$19*LN(Formasjon!$B$31/Formasjon!$B$30))</f>
        <v>4.669051060311386</v>
      </c>
      <c r="O84" s="49">
        <f t="shared" si="27"/>
        <v>2568604993.4823875</v>
      </c>
      <c r="P84" s="49">
        <f t="shared" si="28"/>
        <v>25686.049934823874</v>
      </c>
      <c r="Q84" s="6">
        <f t="shared" si="29"/>
        <v>0.00018177380609936904</v>
      </c>
    </row>
    <row r="85" spans="1:17" ht="12.75">
      <c r="A85" s="45">
        <f t="shared" si="30"/>
        <v>13000000</v>
      </c>
      <c r="B85" s="46">
        <f t="shared" si="20"/>
        <v>165.71118896482722</v>
      </c>
      <c r="C85" s="46">
        <f t="shared" si="16"/>
        <v>606.7399583038156</v>
      </c>
      <c r="D85" s="46">
        <f>690*B85*$B$13/Formasjon!$B$19</f>
        <v>8670837.962584581</v>
      </c>
      <c r="E85" s="47">
        <f t="shared" si="17"/>
        <v>0.00304525954649369</v>
      </c>
      <c r="F85" s="48">
        <f t="shared" si="18"/>
        <v>5865126.8741124375</v>
      </c>
      <c r="G85" s="49">
        <f t="shared" si="21"/>
        <v>58.651268741124376</v>
      </c>
      <c r="H85" s="46">
        <f t="shared" si="22"/>
        <v>2286108271.185623</v>
      </c>
      <c r="I85" s="46">
        <f t="shared" si="23"/>
        <v>22861.08271185623</v>
      </c>
      <c r="J85" s="49">
        <f t="shared" si="24"/>
        <v>22919.733980597353</v>
      </c>
      <c r="K85" s="49">
        <f t="shared" si="25"/>
        <v>114598.66990298676</v>
      </c>
      <c r="L85" s="48">
        <f t="shared" si="26"/>
        <v>-2278973398.059736</v>
      </c>
      <c r="M85" s="46" t="str">
        <f t="shared" si="19"/>
        <v>NOT OK</v>
      </c>
      <c r="N85" s="49">
        <f>2*PI()*Formasjon!$C$7*Formasjon!$C$16*(Iterasjon!$B$2-Iterasjon!A85)/(Formasjon!$C$19*LN(Formasjon!$B$31/Formasjon!$B$30))</f>
        <v>4.427131316253801</v>
      </c>
      <c r="O85" s="49">
        <f t="shared" si="27"/>
        <v>2310273398.059736</v>
      </c>
      <c r="P85" s="49">
        <f t="shared" si="28"/>
        <v>23102.733980597357</v>
      </c>
      <c r="Q85" s="6">
        <f t="shared" si="29"/>
        <v>0.00019162802636137747</v>
      </c>
    </row>
    <row r="86" spans="1:17" ht="12.75">
      <c r="A86" s="45">
        <f t="shared" si="30"/>
        <v>14000000</v>
      </c>
      <c r="B86" s="46">
        <f t="shared" si="20"/>
        <v>156.65593273724102</v>
      </c>
      <c r="C86" s="46">
        <f t="shared" si="16"/>
        <v>573.584769325465</v>
      </c>
      <c r="D86" s="46">
        <f>690*B86*$B$13/Formasjon!$B$19</f>
        <v>8197021.680476134</v>
      </c>
      <c r="E86" s="47">
        <f t="shared" si="17"/>
        <v>0.0030459149549233204</v>
      </c>
      <c r="F86" s="48">
        <f t="shared" si="18"/>
        <v>5242771.113285974</v>
      </c>
      <c r="G86" s="49">
        <f t="shared" si="21"/>
        <v>52.427711132859734</v>
      </c>
      <c r="H86" s="46">
        <f t="shared" si="22"/>
        <v>2043086818.0093324</v>
      </c>
      <c r="I86" s="46">
        <f t="shared" si="23"/>
        <v>20430.868180093323</v>
      </c>
      <c r="J86" s="49">
        <f t="shared" si="24"/>
        <v>20483.295891226182</v>
      </c>
      <c r="K86" s="49">
        <f t="shared" si="25"/>
        <v>102416.47945613091</v>
      </c>
      <c r="L86" s="48">
        <f t="shared" si="26"/>
        <v>-2034329589.1226184</v>
      </c>
      <c r="M86" s="46" t="str">
        <f t="shared" si="19"/>
        <v>NOT OK</v>
      </c>
      <c r="N86" s="49">
        <f>2*PI()*Formasjon!$C$7*Formasjon!$C$16*(Iterasjon!$B$2-Iterasjon!A86)/(Formasjon!$C$19*LN(Formasjon!$B$31/Formasjon!$B$30))</f>
        <v>4.185211572196216</v>
      </c>
      <c r="O86" s="49">
        <f t="shared" si="27"/>
        <v>2065629589.1226184</v>
      </c>
      <c r="P86" s="49">
        <f t="shared" si="28"/>
        <v>20656.295891226186</v>
      </c>
      <c r="Q86" s="6">
        <f t="shared" si="29"/>
        <v>0.0002026119103945396</v>
      </c>
    </row>
    <row r="87" spans="1:17" ht="12.75">
      <c r="A87" s="45">
        <f t="shared" si="30"/>
        <v>15000000</v>
      </c>
      <c r="B87" s="46">
        <f t="shared" si="20"/>
        <v>147.60067650965485</v>
      </c>
      <c r="C87" s="46">
        <f t="shared" si="16"/>
        <v>540.4295803471144</v>
      </c>
      <c r="D87" s="46">
        <f>690*B87*$B$13/Formasjon!$B$19</f>
        <v>7723205.398367688</v>
      </c>
      <c r="E87" s="47">
        <f t="shared" si="17"/>
        <v>0.0030466501883325376</v>
      </c>
      <c r="F87" s="48">
        <f t="shared" si="18"/>
        <v>4655311.211836585</v>
      </c>
      <c r="G87" s="49">
        <f t="shared" si="21"/>
        <v>46.553112118365846</v>
      </c>
      <c r="H87" s="46">
        <f t="shared" si="22"/>
        <v>1813718255.4609225</v>
      </c>
      <c r="I87" s="46">
        <f t="shared" si="23"/>
        <v>18137.182554609226</v>
      </c>
      <c r="J87" s="49">
        <f t="shared" si="24"/>
        <v>18183.735666727593</v>
      </c>
      <c r="K87" s="49">
        <f t="shared" si="25"/>
        <v>90918.67833363796</v>
      </c>
      <c r="L87" s="48">
        <f t="shared" si="26"/>
        <v>-1803373566.672759</v>
      </c>
      <c r="M87" s="46" t="str">
        <f t="shared" si="19"/>
        <v>NOT OK</v>
      </c>
      <c r="N87" s="49">
        <f>2*PI()*Formasjon!$C$7*Formasjon!$C$16*(Iterasjon!$B$2-Iterasjon!A87)/(Formasjon!$C$19*LN(Formasjon!$B$31/Formasjon!$B$30))</f>
        <v>3.9432918281386318</v>
      </c>
      <c r="O87" s="49">
        <f t="shared" si="27"/>
        <v>1834673566.672759</v>
      </c>
      <c r="P87" s="49">
        <f t="shared" si="28"/>
        <v>18346.73566672759</v>
      </c>
      <c r="Q87" s="6">
        <f t="shared" si="29"/>
        <v>0.00021493152241190905</v>
      </c>
    </row>
    <row r="88" spans="1:17" ht="12.75">
      <c r="A88" s="45">
        <f t="shared" si="30"/>
        <v>16000000</v>
      </c>
      <c r="B88" s="46">
        <f t="shared" si="20"/>
        <v>138.54542028206868</v>
      </c>
      <c r="C88" s="46">
        <f t="shared" si="16"/>
        <v>507.2743913687639</v>
      </c>
      <c r="D88" s="46">
        <f>690*B88*$B$13/Formasjon!$B$19</f>
        <v>7249389.116259242</v>
      </c>
      <c r="E88" s="47">
        <f t="shared" si="17"/>
        <v>0.0030474807763664186</v>
      </c>
      <c r="F88" s="48">
        <f t="shared" si="18"/>
        <v>4102747.171933175</v>
      </c>
      <c r="G88" s="49">
        <f t="shared" si="21"/>
        <v>41.02747171933175</v>
      </c>
      <c r="H88" s="46">
        <f t="shared" si="22"/>
        <v>1598002583.5403943</v>
      </c>
      <c r="I88" s="46">
        <f t="shared" si="23"/>
        <v>15980.025835403943</v>
      </c>
      <c r="J88" s="49">
        <f t="shared" si="24"/>
        <v>16021.053307123275</v>
      </c>
      <c r="K88" s="49">
        <f t="shared" si="25"/>
        <v>80105.26653561638</v>
      </c>
      <c r="L88" s="48">
        <f t="shared" si="26"/>
        <v>-1586105330.7123275</v>
      </c>
      <c r="M88" s="46" t="str">
        <f t="shared" si="19"/>
        <v>NOT OK</v>
      </c>
      <c r="N88" s="49">
        <f>2*PI()*Formasjon!$C$7*Formasjon!$C$16*(Iterasjon!$B$2-Iterasjon!A88)/(Formasjon!$C$19*LN(Formasjon!$B$31/Formasjon!$B$30))</f>
        <v>3.701372084081047</v>
      </c>
      <c r="O88" s="49">
        <f t="shared" si="27"/>
        <v>1617405330.7123275</v>
      </c>
      <c r="P88" s="49">
        <f t="shared" si="28"/>
        <v>16174.053307123275</v>
      </c>
      <c r="Q88" s="6">
        <f t="shared" si="29"/>
        <v>0.00022884628941162894</v>
      </c>
    </row>
    <row r="89" spans="1:17" ht="12.75">
      <c r="A89" s="45">
        <f t="shared" si="30"/>
        <v>17000000</v>
      </c>
      <c r="B89" s="46">
        <f t="shared" si="20"/>
        <v>129.49016405448248</v>
      </c>
      <c r="C89" s="46">
        <f t="shared" si="16"/>
        <v>474.1192023904133</v>
      </c>
      <c r="D89" s="46">
        <f>690*B89*$B$13/Formasjon!$B$19</f>
        <v>6775572.834150794</v>
      </c>
      <c r="E89" s="47">
        <f t="shared" si="17"/>
        <v>0.003048426556528504</v>
      </c>
      <c r="F89" s="48">
        <f t="shared" si="18"/>
        <v>3585078.9963413565</v>
      </c>
      <c r="G89" s="49">
        <f t="shared" si="21"/>
        <v>35.85078996341357</v>
      </c>
      <c r="H89" s="46">
        <f t="shared" si="22"/>
        <v>1395939802.2477477</v>
      </c>
      <c r="I89" s="46">
        <f t="shared" si="23"/>
        <v>13959.398022477477</v>
      </c>
      <c r="J89" s="49">
        <f t="shared" si="24"/>
        <v>13995.24881244089</v>
      </c>
      <c r="K89" s="49">
        <f t="shared" si="25"/>
        <v>69976.24406220445</v>
      </c>
      <c r="L89" s="48">
        <f t="shared" si="26"/>
        <v>-1382524881.2440891</v>
      </c>
      <c r="M89" s="46" t="str">
        <f t="shared" si="19"/>
        <v>NOT OK</v>
      </c>
      <c r="N89" s="49">
        <f>2*PI()*Formasjon!$C$7*Formasjon!$C$16*(Iterasjon!$B$2-Iterasjon!A89)/(Formasjon!$C$19*LN(Formasjon!$B$31/Formasjon!$B$30))</f>
        <v>3.4594523400234625</v>
      </c>
      <c r="O89" s="49">
        <f t="shared" si="27"/>
        <v>1413824881.2440891</v>
      </c>
      <c r="P89" s="49">
        <f t="shared" si="28"/>
        <v>14138.248812440892</v>
      </c>
      <c r="Q89" s="6">
        <f t="shared" si="29"/>
        <v>0.00024468747055712674</v>
      </c>
    </row>
    <row r="90" spans="1:17" ht="12.75">
      <c r="A90" s="45">
        <f t="shared" si="30"/>
        <v>18000000</v>
      </c>
      <c r="B90" s="46">
        <f t="shared" si="20"/>
        <v>120.43490782689629</v>
      </c>
      <c r="C90" s="46">
        <f t="shared" si="16"/>
        <v>440.96401341206274</v>
      </c>
      <c r="D90" s="46">
        <f>690*B90*$B$13/Formasjon!$B$19</f>
        <v>6301756.552042347</v>
      </c>
      <c r="E90" s="47">
        <f t="shared" si="17"/>
        <v>0.0030495132793019663</v>
      </c>
      <c r="F90" s="48">
        <f t="shared" si="18"/>
        <v>3102306.6886438164</v>
      </c>
      <c r="G90" s="49">
        <f t="shared" si="21"/>
        <v>31.023066886438166</v>
      </c>
      <c r="H90" s="46">
        <f t="shared" si="22"/>
        <v>1207529911.5829825</v>
      </c>
      <c r="I90" s="46">
        <f t="shared" si="23"/>
        <v>12075.299115829825</v>
      </c>
      <c r="J90" s="49">
        <f t="shared" si="24"/>
        <v>12106.322182716263</v>
      </c>
      <c r="K90" s="49">
        <f t="shared" si="25"/>
        <v>60531.61091358132</v>
      </c>
      <c r="L90" s="48">
        <f t="shared" si="26"/>
        <v>-1192632218.2716265</v>
      </c>
      <c r="M90" s="46" t="str">
        <f t="shared" si="19"/>
        <v>NOT OK</v>
      </c>
      <c r="N90" s="49">
        <f>2*PI()*Formasjon!$C$7*Formasjon!$C$16*(Iterasjon!$B$2-Iterasjon!A90)/(Formasjon!$C$19*LN(Formasjon!$B$31/Formasjon!$B$30))</f>
        <v>3.217532595965878</v>
      </c>
      <c r="O90" s="49">
        <f t="shared" si="27"/>
        <v>1223932218.2716265</v>
      </c>
      <c r="P90" s="49">
        <f t="shared" si="28"/>
        <v>12239.322182716265</v>
      </c>
      <c r="Q90" s="6">
        <f t="shared" si="29"/>
        <v>0.0002628848679634817</v>
      </c>
    </row>
    <row r="91" spans="1:17" ht="12.75">
      <c r="A91" s="45">
        <f t="shared" si="30"/>
        <v>19000000</v>
      </c>
      <c r="B91" s="46">
        <f t="shared" si="20"/>
        <v>111.37965159931008</v>
      </c>
      <c r="C91" s="46">
        <f t="shared" si="16"/>
        <v>407.80882443371206</v>
      </c>
      <c r="D91" s="46">
        <f>690*B91*$B$13/Formasjon!$B$19</f>
        <v>5827940.269933898</v>
      </c>
      <c r="E91" s="47">
        <f t="shared" si="17"/>
        <v>0.0030507749887958876</v>
      </c>
      <c r="F91" s="48">
        <f t="shared" si="18"/>
        <v>2654430.253566126</v>
      </c>
      <c r="G91" s="49">
        <f t="shared" si="21"/>
        <v>26.54430253566126</v>
      </c>
      <c r="H91" s="46">
        <f t="shared" si="22"/>
        <v>1032772911.5460984</v>
      </c>
      <c r="I91" s="46">
        <f t="shared" si="23"/>
        <v>10327.729115460983</v>
      </c>
      <c r="J91" s="49">
        <f t="shared" si="24"/>
        <v>10354.273417996645</v>
      </c>
      <c r="K91" s="49">
        <f t="shared" si="25"/>
        <v>51771.36708998322</v>
      </c>
      <c r="L91" s="48">
        <f t="shared" si="26"/>
        <v>-1016427341.7996645</v>
      </c>
      <c r="M91" s="46" t="str">
        <f t="shared" si="19"/>
        <v>NOT OK</v>
      </c>
      <c r="N91" s="49">
        <f>2*PI()*Formasjon!$C$7*Formasjon!$C$16*(Iterasjon!$B$2-Iterasjon!A91)/(Formasjon!$C$19*LN(Formasjon!$B$31/Formasjon!$B$30))</f>
        <v>2.9756128519082923</v>
      </c>
      <c r="O91" s="49">
        <f t="shared" si="27"/>
        <v>1047727341.7996645</v>
      </c>
      <c r="P91" s="49">
        <f t="shared" si="28"/>
        <v>10477.273417996645</v>
      </c>
      <c r="Q91" s="6">
        <f t="shared" si="29"/>
        <v>0.00028400641399671116</v>
      </c>
    </row>
    <row r="92" spans="1:17" ht="12.75">
      <c r="A92" s="45">
        <f t="shared" si="30"/>
        <v>20000000</v>
      </c>
      <c r="B92" s="46">
        <f t="shared" si="20"/>
        <v>102.3243953717239</v>
      </c>
      <c r="C92" s="46">
        <f t="shared" si="16"/>
        <v>374.6536354553615</v>
      </c>
      <c r="D92" s="46">
        <f>690*B92*$B$13/Formasjon!$B$19</f>
        <v>5354123.987825452</v>
      </c>
      <c r="E92" s="47">
        <f t="shared" si="17"/>
        <v>0.0030522576543867996</v>
      </c>
      <c r="F92" s="48">
        <f t="shared" si="18"/>
        <v>2241449.697472004</v>
      </c>
      <c r="G92" s="49">
        <f t="shared" si="21"/>
        <v>22.41449697472004</v>
      </c>
      <c r="H92" s="46">
        <f t="shared" si="22"/>
        <v>871668802.1370964</v>
      </c>
      <c r="I92" s="46">
        <f t="shared" si="23"/>
        <v>8716.688021370965</v>
      </c>
      <c r="J92" s="49">
        <f t="shared" si="24"/>
        <v>8739.102518345684</v>
      </c>
      <c r="K92" s="49">
        <f t="shared" si="25"/>
        <v>43695.51259172842</v>
      </c>
      <c r="L92" s="48">
        <f t="shared" si="26"/>
        <v>-853910251.8345684</v>
      </c>
      <c r="M92" s="46" t="str">
        <f t="shared" si="19"/>
        <v>NOT OK</v>
      </c>
      <c r="N92" s="49">
        <f>2*PI()*Formasjon!$C$7*Formasjon!$C$16*(Iterasjon!$B$2-Iterasjon!A92)/(Formasjon!$C$19*LN(Formasjon!$B$31/Formasjon!$B$30))</f>
        <v>2.7336931078507076</v>
      </c>
      <c r="O92" s="49">
        <f t="shared" si="27"/>
        <v>885210251.8345684</v>
      </c>
      <c r="P92" s="49">
        <f t="shared" si="28"/>
        <v>8852.102518345684</v>
      </c>
      <c r="Q92" s="6">
        <f t="shared" si="29"/>
        <v>0.0003088185097478504</v>
      </c>
    </row>
    <row r="93" spans="1:17" ht="12.75">
      <c r="A93" s="45">
        <f t="shared" si="30"/>
        <v>21000000</v>
      </c>
      <c r="B93" s="46">
        <f t="shared" si="20"/>
        <v>93.26913914413772</v>
      </c>
      <c r="C93" s="46">
        <f t="shared" si="16"/>
        <v>341.49844647701093</v>
      </c>
      <c r="D93" s="46">
        <f>690*B93*$B$13/Formasjon!$B$19</f>
        <v>4880307.705717006</v>
      </c>
      <c r="E93" s="47">
        <f t="shared" si="17"/>
        <v>0.003054024893989932</v>
      </c>
      <c r="F93" s="48">
        <f t="shared" si="18"/>
        <v>1863365.0291405346</v>
      </c>
      <c r="G93" s="49">
        <f t="shared" si="21"/>
        <v>18.633650291405345</v>
      </c>
      <c r="H93" s="46">
        <f t="shared" si="22"/>
        <v>724217583.3559759</v>
      </c>
      <c r="I93" s="46">
        <f t="shared" si="23"/>
        <v>7242.175833559759</v>
      </c>
      <c r="J93" s="49">
        <f t="shared" si="24"/>
        <v>7260.809483851164</v>
      </c>
      <c r="K93" s="49">
        <f t="shared" si="25"/>
        <v>36304.04741925582</v>
      </c>
      <c r="L93" s="48">
        <f t="shared" si="26"/>
        <v>-705080948.3851165</v>
      </c>
      <c r="M93" s="46" t="str">
        <f t="shared" si="19"/>
        <v>NOT OK</v>
      </c>
      <c r="N93" s="49">
        <f>2*PI()*Formasjon!$C$7*Formasjon!$C$16*(Iterasjon!$B$2-Iterasjon!A93)/(Formasjon!$C$19*LN(Formasjon!$B$31/Formasjon!$B$30))</f>
        <v>2.491773363793123</v>
      </c>
      <c r="O93" s="49">
        <f t="shared" si="27"/>
        <v>736380948.3851165</v>
      </c>
      <c r="P93" s="49">
        <f t="shared" si="28"/>
        <v>7363.809483851164</v>
      </c>
      <c r="Q93" s="6">
        <f t="shared" si="29"/>
        <v>0.0003383810199405053</v>
      </c>
    </row>
    <row r="94" spans="1:17" ht="12.75">
      <c r="A94" s="45">
        <f t="shared" si="30"/>
        <v>22000000</v>
      </c>
      <c r="B94" s="46">
        <f t="shared" si="20"/>
        <v>84.21388291655154</v>
      </c>
      <c r="C94" s="46">
        <f t="shared" si="16"/>
        <v>308.34325749866036</v>
      </c>
      <c r="D94" s="46">
        <f>690*B94*$B$13/Formasjon!$B$19</f>
        <v>4406491.423608558</v>
      </c>
      <c r="E94" s="47">
        <f t="shared" si="17"/>
        <v>0.003056167343806261</v>
      </c>
      <c r="F94" s="48">
        <f t="shared" si="18"/>
        <v>1520176.2610323338</v>
      </c>
      <c r="G94" s="49">
        <f t="shared" si="21"/>
        <v>15.201762610323339</v>
      </c>
      <c r="H94" s="46">
        <f t="shared" si="22"/>
        <v>590419255.2027369</v>
      </c>
      <c r="I94" s="46">
        <f t="shared" si="23"/>
        <v>5904.192552027369</v>
      </c>
      <c r="J94" s="49">
        <f t="shared" si="24"/>
        <v>5919.394314637692</v>
      </c>
      <c r="K94" s="49">
        <f t="shared" si="25"/>
        <v>29596.97157318846</v>
      </c>
      <c r="L94" s="48">
        <f t="shared" si="26"/>
        <v>-569939431.4637692</v>
      </c>
      <c r="M94" s="46" t="str">
        <f t="shared" si="19"/>
        <v>NOT OK</v>
      </c>
      <c r="N94" s="49">
        <f>2*PI()*Formasjon!$C$7*Formasjon!$C$16*(Iterasjon!$B$2-Iterasjon!A94)/(Formasjon!$C$19*LN(Formasjon!$B$31/Formasjon!$B$30))</f>
        <v>2.2498536197355383</v>
      </c>
      <c r="O94" s="49">
        <f t="shared" si="27"/>
        <v>601239431.4637692</v>
      </c>
      <c r="P94" s="49">
        <f t="shared" si="28"/>
        <v>6012.394314637692</v>
      </c>
      <c r="Q94" s="6">
        <f t="shared" si="29"/>
        <v>0.00037420260581680007</v>
      </c>
    </row>
    <row r="95" spans="1:17" ht="12.75">
      <c r="A95" s="45">
        <f t="shared" si="30"/>
        <v>23000000</v>
      </c>
      <c r="B95" s="46">
        <f t="shared" si="20"/>
        <v>75.15862668896536</v>
      </c>
      <c r="C95" s="46">
        <f t="shared" si="16"/>
        <v>275.1880685203098</v>
      </c>
      <c r="D95" s="46">
        <f>690*B95*$B$13/Formasjon!$B$19</f>
        <v>3932675.1415001117</v>
      </c>
      <c r="E95" s="47">
        <f t="shared" si="17"/>
        <v>0.0030588187074693626</v>
      </c>
      <c r="F95" s="48">
        <f t="shared" si="18"/>
        <v>1211883.4114455562</v>
      </c>
      <c r="G95" s="49">
        <f t="shared" si="21"/>
        <v>12.118834114455563</v>
      </c>
      <c r="H95" s="46">
        <f t="shared" si="22"/>
        <v>470273817.6773795</v>
      </c>
      <c r="I95" s="46">
        <f t="shared" si="23"/>
        <v>4702.738176773795</v>
      </c>
      <c r="J95" s="49">
        <f t="shared" si="24"/>
        <v>4714.85701088825</v>
      </c>
      <c r="K95" s="49">
        <f t="shared" si="25"/>
        <v>23574.28505444125</v>
      </c>
      <c r="L95" s="48">
        <f t="shared" si="26"/>
        <v>-448485701.08882505</v>
      </c>
      <c r="M95" s="46" t="str">
        <f t="shared" si="19"/>
        <v>NOT OK</v>
      </c>
      <c r="N95" s="49">
        <f>2*PI()*Formasjon!$C$7*Formasjon!$C$16*(Iterasjon!$B$2-Iterasjon!A95)/(Formasjon!$C$19*LN(Formasjon!$B$31/Formasjon!$B$30))</f>
        <v>2.0079338756779537</v>
      </c>
      <c r="O95" s="49">
        <f t="shared" si="27"/>
        <v>479785701.08882505</v>
      </c>
      <c r="P95" s="49">
        <f t="shared" si="28"/>
        <v>4797.85701088825</v>
      </c>
      <c r="Q95" s="6">
        <f t="shared" si="29"/>
        <v>0.0004185064021543683</v>
      </c>
    </row>
    <row r="96" spans="1:17" ht="12.75">
      <c r="A96" s="45">
        <f t="shared" si="30"/>
        <v>24000000</v>
      </c>
      <c r="B96" s="46">
        <f t="shared" si="20"/>
        <v>66.10337046137916</v>
      </c>
      <c r="C96" s="46">
        <f t="shared" si="16"/>
        <v>242.03287954195923</v>
      </c>
      <c r="D96" s="46">
        <f>690*B96*$B$13/Formasjon!$B$19</f>
        <v>3458858.8593916637</v>
      </c>
      <c r="E96" s="47">
        <f t="shared" si="17"/>
        <v>0.003062184789804818</v>
      </c>
      <c r="F96" s="48">
        <f t="shared" si="18"/>
        <v>938486.5083881981</v>
      </c>
      <c r="G96" s="49">
        <f t="shared" si="21"/>
        <v>9.384865083881982</v>
      </c>
      <c r="H96" s="46">
        <f t="shared" si="22"/>
        <v>363781270.77990353</v>
      </c>
      <c r="I96" s="46">
        <f t="shared" si="23"/>
        <v>3637.8127077990353</v>
      </c>
      <c r="J96" s="49">
        <f t="shared" si="24"/>
        <v>3647.197572882917</v>
      </c>
      <c r="K96" s="49">
        <f t="shared" si="25"/>
        <v>18235.987864414587</v>
      </c>
      <c r="L96" s="48">
        <f t="shared" si="26"/>
        <v>-340719757.28829175</v>
      </c>
      <c r="M96" s="46" t="str">
        <f t="shared" si="19"/>
        <v>NOT OK</v>
      </c>
      <c r="N96" s="49">
        <f>2*PI()*Formasjon!$C$7*Formasjon!$C$16*(Iterasjon!$B$2-Iterasjon!A96)/(Formasjon!$C$19*LN(Formasjon!$B$31/Formasjon!$B$30))</f>
        <v>1.7660141316203688</v>
      </c>
      <c r="O96" s="49">
        <f t="shared" si="27"/>
        <v>372019757.28829175</v>
      </c>
      <c r="P96" s="49">
        <f t="shared" si="28"/>
        <v>3720.1975728829175</v>
      </c>
      <c r="Q96" s="6">
        <f t="shared" si="29"/>
        <v>0.00047470976931255287</v>
      </c>
    </row>
    <row r="97" spans="1:17" ht="12.75">
      <c r="A97" s="45">
        <f t="shared" si="30"/>
        <v>25000000</v>
      </c>
      <c r="B97" s="46">
        <f t="shared" si="20"/>
        <v>57.04811423379297</v>
      </c>
      <c r="C97" s="46">
        <f t="shared" si="16"/>
        <v>208.87769056360864</v>
      </c>
      <c r="D97" s="46">
        <f>690*B97*$B$13/Formasjon!$B$19</f>
        <v>2985042.5772832166</v>
      </c>
      <c r="E97" s="47">
        <f t="shared" si="17"/>
        <v>0.003066599684780178</v>
      </c>
      <c r="F97" s="48">
        <f t="shared" si="18"/>
        <v>699985.5970047767</v>
      </c>
      <c r="G97" s="49">
        <f t="shared" si="21"/>
        <v>6.999855970047767</v>
      </c>
      <c r="H97" s="46">
        <f t="shared" si="22"/>
        <v>270941614.51030904</v>
      </c>
      <c r="I97" s="46">
        <f t="shared" si="23"/>
        <v>2709.4161451030905</v>
      </c>
      <c r="J97" s="49">
        <f t="shared" si="24"/>
        <v>2716.4160010731384</v>
      </c>
      <c r="K97" s="49">
        <f t="shared" si="25"/>
        <v>13582.080005365693</v>
      </c>
      <c r="L97" s="48">
        <f t="shared" si="26"/>
        <v>-246641600.1073138</v>
      </c>
      <c r="M97" s="46" t="str">
        <f t="shared" si="19"/>
        <v>NOT OK</v>
      </c>
      <c r="N97" s="49">
        <f>2*PI()*Formasjon!$C$7*Formasjon!$C$16*(Iterasjon!$B$2-Iterasjon!A97)/(Formasjon!$C$19*LN(Formasjon!$B$31/Formasjon!$B$30))</f>
        <v>1.524094387562784</v>
      </c>
      <c r="O97" s="49">
        <f t="shared" si="27"/>
        <v>277941600.1073138</v>
      </c>
      <c r="P97" s="49">
        <f t="shared" si="28"/>
        <v>2779.416001073138</v>
      </c>
      <c r="Q97" s="6">
        <f t="shared" si="29"/>
        <v>0.0005483505840702969</v>
      </c>
    </row>
    <row r="98" spans="1:17" ht="12.75">
      <c r="A98" s="45">
        <f t="shared" si="30"/>
        <v>26000000</v>
      </c>
      <c r="B98" s="46">
        <f t="shared" si="20"/>
        <v>47.99285800620679</v>
      </c>
      <c r="C98" s="46">
        <f t="shared" si="16"/>
        <v>175.72250158525807</v>
      </c>
      <c r="D98" s="46">
        <f>690*B98*$B$13/Formasjon!$B$19</f>
        <v>2511226.2951747696</v>
      </c>
      <c r="E98" s="47">
        <f t="shared" si="17"/>
        <v>0.003072644229211672</v>
      </c>
      <c r="F98" s="48">
        <f t="shared" si="18"/>
        <v>496380.75505195797</v>
      </c>
      <c r="G98" s="49">
        <f t="shared" si="21"/>
        <v>4.963807550519579</v>
      </c>
      <c r="H98" s="46">
        <f t="shared" si="22"/>
        <v>191754848.86859617</v>
      </c>
      <c r="I98" s="46">
        <f t="shared" si="23"/>
        <v>1917.5484886859617</v>
      </c>
      <c r="J98" s="49">
        <f t="shared" si="24"/>
        <v>1922.5122962364812</v>
      </c>
      <c r="K98" s="49">
        <f t="shared" si="25"/>
        <v>9612.561481182405</v>
      </c>
      <c r="L98" s="48">
        <f t="shared" si="26"/>
        <v>-166251229.62364814</v>
      </c>
      <c r="M98" s="46" t="str">
        <f t="shared" si="19"/>
        <v>NOT OK</v>
      </c>
      <c r="N98" s="49">
        <f>2*PI()*Formasjon!$C$7*Formasjon!$C$16*(Iterasjon!$B$2-Iterasjon!A98)/(Formasjon!$C$19*LN(Formasjon!$B$31/Formasjon!$B$30))</f>
        <v>1.2821746435051993</v>
      </c>
      <c r="O98" s="49">
        <f t="shared" si="27"/>
        <v>197551229.62364814</v>
      </c>
      <c r="P98" s="49">
        <f t="shared" si="28"/>
        <v>1975.5122962364815</v>
      </c>
      <c r="Q98" s="6">
        <f t="shared" si="29"/>
        <v>0.0006490339978889783</v>
      </c>
    </row>
    <row r="99" spans="1:17" ht="12.75">
      <c r="A99" s="45">
        <f t="shared" si="30"/>
        <v>27000000</v>
      </c>
      <c r="B99" s="46">
        <f t="shared" si="20"/>
        <v>38.93760177862061</v>
      </c>
      <c r="C99" s="46">
        <f t="shared" si="16"/>
        <v>142.5673126069075</v>
      </c>
      <c r="D99" s="46">
        <f>690*B99*$B$13/Formasjon!$B$19</f>
        <v>2037410.0130663232</v>
      </c>
      <c r="E99" s="47">
        <f t="shared" si="17"/>
        <v>0.00308142550672081</v>
      </c>
      <c r="F99" s="48">
        <f t="shared" si="18"/>
        <v>327672.1288473714</v>
      </c>
      <c r="G99" s="49">
        <f t="shared" si="21"/>
        <v>3.2767212884737136</v>
      </c>
      <c r="H99" s="46">
        <f t="shared" si="22"/>
        <v>126220973.85476483</v>
      </c>
      <c r="I99" s="46">
        <f t="shared" si="23"/>
        <v>1262.2097385476484</v>
      </c>
      <c r="J99" s="49">
        <f t="shared" si="24"/>
        <v>1265.486459836122</v>
      </c>
      <c r="K99" s="49">
        <f t="shared" si="25"/>
        <v>6327.43229918061</v>
      </c>
      <c r="L99" s="48">
        <f t="shared" si="26"/>
        <v>-99548645.98361221</v>
      </c>
      <c r="M99" s="46" t="str">
        <f t="shared" si="19"/>
        <v>NOT OK</v>
      </c>
      <c r="N99" s="49">
        <f>2*PI()*Formasjon!$C$7*Formasjon!$C$16*(Iterasjon!$B$2-Iterasjon!A99)/(Formasjon!$C$19*LN(Formasjon!$B$31/Formasjon!$B$30))</f>
        <v>1.0402548994476146</v>
      </c>
      <c r="O99" s="49">
        <f t="shared" si="27"/>
        <v>130848645.98361221</v>
      </c>
      <c r="P99" s="49">
        <f t="shared" si="28"/>
        <v>1308.486459836122</v>
      </c>
      <c r="Q99" s="6">
        <f t="shared" si="29"/>
        <v>0.0007950062391764441</v>
      </c>
    </row>
    <row r="100" spans="1:17" ht="12.75">
      <c r="A100" s="45">
        <f t="shared" si="30"/>
        <v>28000000</v>
      </c>
      <c r="B100" s="46">
        <f t="shared" si="20"/>
        <v>29.882345551034415</v>
      </c>
      <c r="C100" s="46">
        <f t="shared" si="16"/>
        <v>109.41212362855691</v>
      </c>
      <c r="D100" s="46">
        <f>690*B100*$B$13/Formasjon!$B$19</f>
        <v>1563593.7309578753</v>
      </c>
      <c r="E100" s="47">
        <f t="shared" si="17"/>
        <v>0.0030953479684508686</v>
      </c>
      <c r="F100" s="48">
        <f t="shared" si="18"/>
        <v>193860.03024653546</v>
      </c>
      <c r="G100" s="49">
        <f t="shared" si="21"/>
        <v>1.9386003024653546</v>
      </c>
      <c r="H100" s="46">
        <f t="shared" si="22"/>
        <v>74339989.46881495</v>
      </c>
      <c r="I100" s="46">
        <f t="shared" si="23"/>
        <v>743.3998946881495</v>
      </c>
      <c r="J100" s="49">
        <f t="shared" si="24"/>
        <v>745.3384949906149</v>
      </c>
      <c r="K100" s="49">
        <f t="shared" si="25"/>
        <v>3726.6924749530745</v>
      </c>
      <c r="L100" s="48">
        <f t="shared" si="26"/>
        <v>-46533849.499061495</v>
      </c>
      <c r="M100" s="46" t="str">
        <f t="shared" si="19"/>
        <v>NOT OK</v>
      </c>
      <c r="N100" s="49">
        <f>2*PI()*Formasjon!$C$7*Formasjon!$C$16*(Iterasjon!$B$2-Iterasjon!A100)/(Formasjon!$C$19*LN(Formasjon!$B$31/Formasjon!$B$30))</f>
        <v>0.7983351553900297</v>
      </c>
      <c r="O100" s="49">
        <f t="shared" si="27"/>
        <v>77833849.4990615</v>
      </c>
      <c r="P100" s="49">
        <f t="shared" si="28"/>
        <v>778.338494990615</v>
      </c>
      <c r="Q100" s="6">
        <f t="shared" si="29"/>
        <v>0.0010256914703925262</v>
      </c>
    </row>
    <row r="101" spans="1:17" ht="12.75">
      <c r="A101" s="45">
        <f t="shared" si="30"/>
        <v>29000000</v>
      </c>
      <c r="B101" s="46">
        <f t="shared" si="20"/>
        <v>20.827089323448227</v>
      </c>
      <c r="C101" s="46">
        <f t="shared" si="16"/>
        <v>76.25693465020632</v>
      </c>
      <c r="D101" s="46">
        <f>690*B101*$B$13/Formasjon!$B$19</f>
        <v>1089777.4488494282</v>
      </c>
      <c r="E101" s="47">
        <f t="shared" si="17"/>
        <v>0.0031208055745026125</v>
      </c>
      <c r="F101" s="48">
        <f t="shared" si="18"/>
        <v>94945.26336293956</v>
      </c>
      <c r="G101" s="49">
        <f t="shared" si="21"/>
        <v>0.9494526336293956</v>
      </c>
      <c r="H101" s="46">
        <f t="shared" si="22"/>
        <v>36111895.710746646</v>
      </c>
      <c r="I101" s="46">
        <f t="shared" si="23"/>
        <v>361.1189571074665</v>
      </c>
      <c r="J101" s="49">
        <f t="shared" si="24"/>
        <v>362.0684097410959</v>
      </c>
      <c r="K101" s="49">
        <f t="shared" si="25"/>
        <v>1810.3420487054793</v>
      </c>
      <c r="L101" s="48">
        <f t="shared" si="26"/>
        <v>-7206840.974109586</v>
      </c>
      <c r="M101" s="46" t="str">
        <f t="shared" si="19"/>
        <v>NOT OK</v>
      </c>
      <c r="N101" s="49">
        <f>2*PI()*Formasjon!$C$7*Formasjon!$C$16*(Iterasjon!$B$2-Iterasjon!A101)/(Formasjon!$C$19*LN(Formasjon!$B$31/Formasjon!$B$30))</f>
        <v>0.5564154113324449</v>
      </c>
      <c r="O101" s="49">
        <f t="shared" si="27"/>
        <v>38506840.97410959</v>
      </c>
      <c r="P101" s="49">
        <f t="shared" si="28"/>
        <v>385.0684097410959</v>
      </c>
      <c r="Q101" s="6">
        <f t="shared" si="29"/>
        <v>0.0014449780798860017</v>
      </c>
    </row>
    <row r="102" spans="1:17" ht="12.75">
      <c r="A102" s="45">
        <f t="shared" si="30"/>
        <v>30000000</v>
      </c>
      <c r="B102" s="46">
        <f t="shared" si="20"/>
        <v>11.771833095862041</v>
      </c>
      <c r="C102" s="46">
        <f t="shared" si="16"/>
        <v>43.10174567185575</v>
      </c>
      <c r="D102" s="46">
        <f>690*B102*$B$13/Formasjon!$B$19</f>
        <v>615961.1667409812</v>
      </c>
      <c r="E102" s="47">
        <f t="shared" si="17"/>
        <v>0.0031823840438932253</v>
      </c>
      <c r="F102" s="48">
        <f t="shared" si="18"/>
        <v>30930.732944022788</v>
      </c>
      <c r="G102" s="49">
        <f t="shared" si="21"/>
        <v>0.3093073294402279</v>
      </c>
      <c r="H102" s="46">
        <f t="shared" si="22"/>
        <v>11536692.580559896</v>
      </c>
      <c r="I102" s="46">
        <f t="shared" si="23"/>
        <v>115.36692580559897</v>
      </c>
      <c r="J102" s="49">
        <f t="shared" si="24"/>
        <v>115.6762331350392</v>
      </c>
      <c r="K102" s="49">
        <f t="shared" si="25"/>
        <v>578.381165675196</v>
      </c>
      <c r="L102" s="48">
        <f t="shared" si="26"/>
        <v>18432376.68649608</v>
      </c>
      <c r="M102" s="46" t="str">
        <f t="shared" si="19"/>
        <v>OK</v>
      </c>
      <c r="N102" s="49">
        <f>2*PI()*Formasjon!$C$7*Formasjon!$C$16*(Iterasjon!$B$2-Iterasjon!A102)/(Formasjon!$C$19*LN(Formasjon!$B$31/Formasjon!$B$30))</f>
        <v>0.31449566727486017</v>
      </c>
      <c r="O102" s="49">
        <f t="shared" si="27"/>
        <v>12867623.313503921</v>
      </c>
      <c r="P102" s="49">
        <f t="shared" si="28"/>
        <v>128.6762331350392</v>
      </c>
      <c r="Q102" s="6">
        <f t="shared" si="29"/>
        <v>0.0024440851244441762</v>
      </c>
    </row>
    <row r="103" spans="1:17" ht="12.75">
      <c r="A103" s="45">
        <f t="shared" si="30"/>
        <v>31000000</v>
      </c>
      <c r="B103" s="46">
        <f t="shared" si="20"/>
        <v>2.716576868275856</v>
      </c>
      <c r="C103" s="46">
        <f t="shared" si="16"/>
        <v>9.946556693505174</v>
      </c>
      <c r="D103" s="46">
        <f>690*B103*$B$13/Formasjon!$B$19</f>
        <v>142144.88463253414</v>
      </c>
      <c r="E103" s="47">
        <f t="shared" si="17"/>
        <v>0.003558111551580859</v>
      </c>
      <c r="F103" s="48">
        <f t="shared" si="18"/>
        <v>1841.6749777448094</v>
      </c>
      <c r="G103" s="49">
        <f t="shared" si="21"/>
        <v>0.018416749777448095</v>
      </c>
      <c r="H103" s="46">
        <f t="shared" si="22"/>
        <v>614380.0782546691</v>
      </c>
      <c r="I103" s="46">
        <f t="shared" si="23"/>
        <v>6.143800782546691</v>
      </c>
      <c r="J103" s="49">
        <f t="shared" si="24"/>
        <v>6.1622175323241395</v>
      </c>
      <c r="K103" s="49">
        <f t="shared" si="25"/>
        <v>30.811087661620697</v>
      </c>
      <c r="L103" s="48">
        <f t="shared" si="26"/>
        <v>30383778.246767584</v>
      </c>
      <c r="M103" s="46" t="str">
        <f t="shared" si="19"/>
        <v>OK</v>
      </c>
      <c r="N103" s="49">
        <f>2*PI()*Formasjon!$C$7*Formasjon!$C$16*(Iterasjon!$B$2-Iterasjon!A103)/(Formasjon!$C$19*LN(Formasjon!$B$31/Formasjon!$B$30))</f>
        <v>0.07257592321727543</v>
      </c>
      <c r="O103" s="49">
        <f t="shared" si="27"/>
        <v>916221.7532324158</v>
      </c>
      <c r="P103" s="49">
        <f t="shared" si="28"/>
        <v>9.162217532324158</v>
      </c>
      <c r="Q103" s="6">
        <f t="shared" si="29"/>
        <v>0.00792121808516647</v>
      </c>
    </row>
    <row r="104" spans="1:17" ht="12.75">
      <c r="A104" s="45">
        <f aca="true" t="shared" si="31" ref="A104:A109">A103+50000</f>
        <v>31050000</v>
      </c>
      <c r="B104" s="46">
        <f t="shared" si="20"/>
        <v>2.2638140568965466</v>
      </c>
      <c r="C104" s="46">
        <f t="shared" si="16"/>
        <v>8.288797244587645</v>
      </c>
      <c r="D104" s="46">
        <f>690*B104*$B$13/Formasjon!$B$19</f>
        <v>118454.07052711178</v>
      </c>
      <c r="E104" s="47">
        <f t="shared" si="17"/>
        <v>0.003637532243515844</v>
      </c>
      <c r="F104" s="48">
        <f t="shared" si="18"/>
        <v>1307.4882280536829</v>
      </c>
      <c r="G104" s="49">
        <f t="shared" si="21"/>
        <v>0.01307488228053683</v>
      </c>
      <c r="H104" s="46">
        <f t="shared" si="22"/>
        <v>426652.83212129795</v>
      </c>
      <c r="I104" s="46">
        <f t="shared" si="23"/>
        <v>4.26652832121298</v>
      </c>
      <c r="J104" s="49">
        <f t="shared" si="24"/>
        <v>4.279603203493517</v>
      </c>
      <c r="K104" s="49">
        <f t="shared" si="25"/>
        <v>21.398016017467583</v>
      </c>
      <c r="L104" s="48">
        <f t="shared" si="26"/>
        <v>30622039.67965065</v>
      </c>
      <c r="M104" s="46" t="str">
        <f t="shared" si="19"/>
        <v>OK</v>
      </c>
      <c r="N104" s="49">
        <f>2*PI()*Formasjon!$C$7*Formasjon!$C$16*(Iterasjon!$B$2-Iterasjon!A104)/(Formasjon!$C$19*LN(Formasjon!$B$31/Formasjon!$B$30))</f>
        <v>0.06047993601439619</v>
      </c>
      <c r="O104" s="49">
        <f t="shared" si="27"/>
        <v>677960.3203493506</v>
      </c>
      <c r="P104" s="49">
        <f t="shared" si="28"/>
        <v>6.779603203493505</v>
      </c>
      <c r="Q104" s="6">
        <f t="shared" si="29"/>
        <v>0.008920866634677248</v>
      </c>
    </row>
    <row r="105" spans="1:17" ht="12.75">
      <c r="A105" s="45">
        <f t="shared" si="31"/>
        <v>31100000</v>
      </c>
      <c r="B105" s="46">
        <f t="shared" si="20"/>
        <v>1.8110512455172374</v>
      </c>
      <c r="C105" s="46">
        <f t="shared" si="16"/>
        <v>6.631037795670116</v>
      </c>
      <c r="D105" s="46">
        <f>690*B105*$B$13/Formasjon!$B$19</f>
        <v>94763.25642168942</v>
      </c>
      <c r="E105" s="47">
        <f t="shared" si="17"/>
        <v>0.0037474380132669354</v>
      </c>
      <c r="F105" s="48">
        <f t="shared" si="18"/>
        <v>862.0756288064713</v>
      </c>
      <c r="G105" s="49">
        <f t="shared" si="21"/>
        <v>0.008620756288064713</v>
      </c>
      <c r="H105" s="46">
        <f t="shared" si="22"/>
        <v>273057.8125576307</v>
      </c>
      <c r="I105" s="46">
        <f t="shared" si="23"/>
        <v>2.730578125576307</v>
      </c>
      <c r="J105" s="49">
        <f t="shared" si="24"/>
        <v>2.7391988818643718</v>
      </c>
      <c r="K105" s="49">
        <f t="shared" si="25"/>
        <v>13.695994409321859</v>
      </c>
      <c r="L105" s="48">
        <f t="shared" si="26"/>
        <v>30826080.111813564</v>
      </c>
      <c r="M105" s="46" t="str">
        <f t="shared" si="19"/>
        <v>OK</v>
      </c>
      <c r="N105" s="49">
        <f>2*PI()*Formasjon!$C$7*Formasjon!$C$16*(Iterasjon!$B$2-Iterasjon!A105)/(Formasjon!$C$19*LN(Formasjon!$B$31/Formasjon!$B$30))</f>
        <v>0.048383948811516954</v>
      </c>
      <c r="O105" s="49">
        <f t="shared" si="27"/>
        <v>473919.88818643615</v>
      </c>
      <c r="P105" s="49">
        <f t="shared" si="28"/>
        <v>4.739198881864361</v>
      </c>
      <c r="Q105" s="6">
        <f t="shared" si="29"/>
        <v>0.010209309635995508</v>
      </c>
    </row>
    <row r="106" spans="1:17" ht="12.75">
      <c r="A106" s="45">
        <f t="shared" si="31"/>
        <v>31150000</v>
      </c>
      <c r="B106" s="46">
        <f t="shared" si="20"/>
        <v>1.358288434137928</v>
      </c>
      <c r="C106" s="46">
        <f t="shared" si="16"/>
        <v>4.973278346752587</v>
      </c>
      <c r="D106" s="46">
        <f>690*B106*$B$13/Formasjon!$B$19</f>
        <v>71072.44231626707</v>
      </c>
      <c r="E106" s="47">
        <f t="shared" si="17"/>
        <v>0.003911454313941681</v>
      </c>
      <c r="F106" s="48">
        <f t="shared" si="18"/>
        <v>506.14120946951715</v>
      </c>
      <c r="G106" s="49">
        <f t="shared" si="21"/>
        <v>0.005061412094695171</v>
      </c>
      <c r="H106" s="46">
        <f t="shared" si="22"/>
        <v>153595.01956366727</v>
      </c>
      <c r="I106" s="46">
        <f t="shared" si="23"/>
        <v>1.5359501956366728</v>
      </c>
      <c r="J106" s="49">
        <f t="shared" si="24"/>
        <v>1.541011607731368</v>
      </c>
      <c r="K106" s="49">
        <f t="shared" si="25"/>
        <v>7.705058038656841</v>
      </c>
      <c r="L106" s="48">
        <f t="shared" si="26"/>
        <v>30995898.839226864</v>
      </c>
      <c r="M106" s="46" t="str">
        <f t="shared" si="19"/>
        <v>OK</v>
      </c>
      <c r="N106" s="49">
        <f>2*PI()*Formasjon!$C$7*Formasjon!$C$16*(Iterasjon!$B$2-Iterasjon!A106)/(Formasjon!$C$19*LN(Formasjon!$B$31/Formasjon!$B$30))</f>
        <v>0.03628796160863772</v>
      </c>
      <c r="O106" s="49">
        <f t="shared" si="27"/>
        <v>304101.1607731357</v>
      </c>
      <c r="P106" s="49">
        <f t="shared" si="28"/>
        <v>3.0410116077313574</v>
      </c>
      <c r="Q106" s="6">
        <f t="shared" si="29"/>
        <v>0.01193285863045722</v>
      </c>
    </row>
    <row r="107" spans="1:17" ht="12.75">
      <c r="A107" s="45">
        <f t="shared" si="31"/>
        <v>31200000</v>
      </c>
      <c r="B107" s="46">
        <f t="shared" si="20"/>
        <v>0.9055256227586187</v>
      </c>
      <c r="C107" s="46">
        <f t="shared" si="16"/>
        <v>3.315518897835058</v>
      </c>
      <c r="D107" s="46">
        <f>690*B107*$B$13/Formasjon!$B$19</f>
        <v>47381.62821084471</v>
      </c>
      <c r="E107" s="47">
        <f t="shared" si="17"/>
        <v>0.00418969642320828</v>
      </c>
      <c r="F107" s="48">
        <f t="shared" si="18"/>
        <v>240.9536305709819</v>
      </c>
      <c r="G107" s="49">
        <f t="shared" si="21"/>
        <v>0.002409536305709819</v>
      </c>
      <c r="H107" s="46">
        <f t="shared" si="22"/>
        <v>68264.45313940768</v>
      </c>
      <c r="I107" s="46">
        <f t="shared" si="23"/>
        <v>0.6826445313940768</v>
      </c>
      <c r="J107" s="49">
        <f t="shared" si="24"/>
        <v>0.6850540676997866</v>
      </c>
      <c r="K107" s="49">
        <f t="shared" si="25"/>
        <v>3.425270338498933</v>
      </c>
      <c r="L107" s="48">
        <f t="shared" si="26"/>
        <v>31131494.59323002</v>
      </c>
      <c r="M107" s="46" t="str">
        <f t="shared" si="19"/>
        <v>OK</v>
      </c>
      <c r="N107" s="49">
        <f>2*PI()*Formasjon!$C$7*Formasjon!$C$16*(Iterasjon!$B$2-Iterasjon!A107)/(Formasjon!$C$19*LN(Formasjon!$B$31/Formasjon!$B$30))</f>
        <v>0.024191974405758477</v>
      </c>
      <c r="O107" s="49">
        <f t="shared" si="27"/>
        <v>168505.40676997975</v>
      </c>
      <c r="P107" s="49">
        <f t="shared" si="28"/>
        <v>1.6850540676997974</v>
      </c>
      <c r="Q107" s="6">
        <f t="shared" si="29"/>
        <v>0.014356794164345132</v>
      </c>
    </row>
    <row r="108" spans="1:17" ht="12.75">
      <c r="A108" s="45">
        <f t="shared" si="31"/>
        <v>31250000</v>
      </c>
      <c r="B108" s="46">
        <f t="shared" si="20"/>
        <v>0.45276281137930935</v>
      </c>
      <c r="C108" s="46">
        <f t="shared" si="16"/>
        <v>1.657759448917529</v>
      </c>
      <c r="D108" s="46">
        <f>690*B108*$B$13/Formasjon!$B$19</f>
        <v>23690.814105422356</v>
      </c>
      <c r="E108" s="47">
        <f t="shared" si="17"/>
        <v>0.004813295697933831</v>
      </c>
      <c r="F108" s="48">
        <f t="shared" si="18"/>
        <v>69.20436209914804</v>
      </c>
      <c r="G108" s="49">
        <f t="shared" si="21"/>
        <v>0.0006920436209914804</v>
      </c>
      <c r="H108" s="46">
        <f t="shared" si="22"/>
        <v>17066.11328485192</v>
      </c>
      <c r="I108" s="46">
        <f t="shared" si="23"/>
        <v>0.1706611328485192</v>
      </c>
      <c r="J108" s="49">
        <f t="shared" si="24"/>
        <v>0.17135317646951068</v>
      </c>
      <c r="K108" s="49">
        <f t="shared" si="25"/>
        <v>0.8567658823475534</v>
      </c>
      <c r="L108" s="48">
        <f t="shared" si="26"/>
        <v>31232864.68235305</v>
      </c>
      <c r="M108" s="46" t="str">
        <f t="shared" si="19"/>
        <v>OK</v>
      </c>
      <c r="N108" s="49">
        <f>2*PI()*Formasjon!$C$7*Formasjon!$C$16*(Iterasjon!$B$2-Iterasjon!A108)/(Formasjon!$C$19*LN(Formasjon!$B$31/Formasjon!$B$30))</f>
        <v>0.012095987202879238</v>
      </c>
      <c r="O108" s="49">
        <f t="shared" si="27"/>
        <v>67135.31764695048</v>
      </c>
      <c r="P108" s="49">
        <f t="shared" si="28"/>
        <v>0.6713531764695049</v>
      </c>
      <c r="Q108" s="6">
        <f t="shared" si="29"/>
        <v>0.018017323261192136</v>
      </c>
    </row>
    <row r="109" spans="1:17" ht="13.5" thickBot="1">
      <c r="A109" s="51">
        <f t="shared" si="31"/>
        <v>31300000</v>
      </c>
      <c r="B109" s="36">
        <f t="shared" si="20"/>
        <v>0</v>
      </c>
      <c r="C109" s="36">
        <f t="shared" si="16"/>
        <v>0</v>
      </c>
      <c r="D109" s="36">
        <f>690*B109*$B$13/Formasjon!$B$19</f>
        <v>0</v>
      </c>
      <c r="E109" s="79">
        <v>0</v>
      </c>
      <c r="F109" s="50">
        <f t="shared" si="18"/>
        <v>0</v>
      </c>
      <c r="G109" s="53">
        <f t="shared" si="21"/>
        <v>0</v>
      </c>
      <c r="H109" s="36">
        <f t="shared" si="22"/>
        <v>0</v>
      </c>
      <c r="I109" s="36">
        <f t="shared" si="23"/>
        <v>0</v>
      </c>
      <c r="J109" s="53">
        <f t="shared" si="24"/>
        <v>0</v>
      </c>
      <c r="K109" s="53">
        <f t="shared" si="25"/>
        <v>0</v>
      </c>
      <c r="L109" s="50">
        <f t="shared" si="26"/>
        <v>31300000</v>
      </c>
      <c r="M109" s="36" t="str">
        <f t="shared" si="19"/>
        <v>OK</v>
      </c>
      <c r="N109" s="49">
        <f>2*PI()*Formasjon!$C$7*Formasjon!$C$16*(Iterasjon!$B$2-Iterasjon!A109)/(Formasjon!$C$19*LN(Formasjon!$B$31/Formasjon!$B$30))</f>
        <v>0</v>
      </c>
      <c r="O109" s="53">
        <f t="shared" si="27"/>
        <v>0</v>
      </c>
      <c r="P109" s="53">
        <f t="shared" si="28"/>
        <v>0</v>
      </c>
      <c r="Q109" s="9">
        <v>0</v>
      </c>
    </row>
    <row r="110" ht="12.75">
      <c r="N110" s="24"/>
    </row>
    <row r="111" ht="12.75">
      <c r="N111" s="24"/>
    </row>
    <row r="112" ht="12.75">
      <c r="N112" s="24"/>
    </row>
    <row r="113" spans="1:17" ht="27" thickBot="1">
      <c r="A113" s="8"/>
      <c r="B113" s="8"/>
      <c r="C113" s="8"/>
      <c r="D113" s="8"/>
      <c r="E113" s="8"/>
      <c r="F113" s="8"/>
      <c r="G113" s="28" t="s">
        <v>93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2.75">
      <c r="A114" s="41" t="s">
        <v>58</v>
      </c>
      <c r="B114" s="29" t="s">
        <v>65</v>
      </c>
      <c r="C114" s="29" t="s">
        <v>68</v>
      </c>
      <c r="D114" s="29" t="s">
        <v>77</v>
      </c>
      <c r="E114" s="29" t="s">
        <v>85</v>
      </c>
      <c r="F114" s="29" t="s">
        <v>66</v>
      </c>
      <c r="G114" s="29" t="str">
        <f>F114</f>
        <v>DP-screen</v>
      </c>
      <c r="H114" s="29" t="s">
        <v>67</v>
      </c>
      <c r="I114" s="29" t="str">
        <f>H114</f>
        <v>DP-dyser</v>
      </c>
      <c r="J114" s="29" t="s">
        <v>88</v>
      </c>
      <c r="K114" s="29" t="s">
        <v>89</v>
      </c>
      <c r="L114" s="29" t="s">
        <v>25</v>
      </c>
      <c r="M114" s="29" t="s">
        <v>95</v>
      </c>
      <c r="N114" s="29" t="s">
        <v>26</v>
      </c>
      <c r="O114" s="29" t="s">
        <v>78</v>
      </c>
      <c r="P114" s="29"/>
      <c r="Q114" s="42" t="s">
        <v>50</v>
      </c>
    </row>
    <row r="115" spans="1:17" ht="13.5" thickBot="1">
      <c r="A115" s="43" t="s">
        <v>70</v>
      </c>
      <c r="B115" s="13" t="s">
        <v>69</v>
      </c>
      <c r="C115" s="13" t="str">
        <f>B115</f>
        <v>[m/s]</v>
      </c>
      <c r="D115" s="13"/>
      <c r="E115" s="13"/>
      <c r="F115" s="13" t="s">
        <v>70</v>
      </c>
      <c r="G115" s="13" t="s">
        <v>87</v>
      </c>
      <c r="H115" s="13" t="s">
        <v>70</v>
      </c>
      <c r="I115" s="13" t="s">
        <v>80</v>
      </c>
      <c r="J115" s="13" t="s">
        <v>87</v>
      </c>
      <c r="K115" s="13" t="str">
        <f>J115</f>
        <v>[bar]</v>
      </c>
      <c r="L115" s="13" t="s">
        <v>70</v>
      </c>
      <c r="M115" s="13" t="s">
        <v>96</v>
      </c>
      <c r="N115" s="13" t="s">
        <v>71</v>
      </c>
      <c r="O115" s="13" t="s">
        <v>70</v>
      </c>
      <c r="P115" s="13" t="s">
        <v>80</v>
      </c>
      <c r="Q115" s="44" t="s">
        <v>90</v>
      </c>
    </row>
    <row r="116" spans="1:17" ht="12.75">
      <c r="A116" s="45">
        <v>0</v>
      </c>
      <c r="B116" s="46">
        <f aca="true" t="shared" si="32" ref="B116:B153">N116/($B$5*$L$6)</f>
        <v>249.23026459188765</v>
      </c>
      <c r="C116" s="46">
        <f aca="true" t="shared" si="33" ref="C116:C153">N116/(PI()/4*($L$5*$L$6*$B$8^2))</f>
        <v>821.2853046438804</v>
      </c>
      <c r="D116" s="46">
        <f>690*B116*$B$13/Formasjon!$B$19</f>
        <v>13040973.594770517</v>
      </c>
      <c r="E116" s="47">
        <f aca="true" t="shared" si="34" ref="E116:E152">IF(D116&gt;2300,fturb(D116),flam(D116))</f>
        <v>0.003041450042854475</v>
      </c>
      <c r="F116" s="48">
        <f aca="true" t="shared" si="35" ref="F116:F153">E116*$B$9/$B$13*690/2*B116^2</f>
        <v>13250481.974246835</v>
      </c>
      <c r="G116" s="49">
        <f aca="true" t="shared" si="36" ref="G116:G153">F116/10^5</f>
        <v>132.50481974246836</v>
      </c>
      <c r="H116" s="46">
        <f aca="true" t="shared" si="37" ref="H116:H153">0.5*690*C116^2*$L$5</f>
        <v>4654115906.205541</v>
      </c>
      <c r="I116" s="46">
        <f aca="true" t="shared" si="38" ref="I116:I153">H116/10^5</f>
        <v>46541.159062055405</v>
      </c>
      <c r="J116" s="49">
        <f aca="true" t="shared" si="39" ref="J116:J153">I116+G116</f>
        <v>46673.663881797875</v>
      </c>
      <c r="K116" s="49">
        <f aca="true" t="shared" si="40" ref="K116:K153">J116*$L$6</f>
        <v>186694.6555271915</v>
      </c>
      <c r="L116" s="48">
        <f aca="true" t="shared" si="41" ref="L116:L153">$B$2-($B$2-A116)-F116-H116</f>
        <v>-4667366388.179788</v>
      </c>
      <c r="M116" s="46" t="str">
        <f aca="true" t="shared" si="42" ref="M116:M153">IF(L116&gt;D162,"OK","NOT OK")</f>
        <v>NOT OK</v>
      </c>
      <c r="N116" s="49">
        <f>2*PI()*Formasjon!$D$7*Formasjon!$D$16*(Iterasjon!$B$2-Iterasjon!A116)/(Formasjon!$D$19*LN(Formasjon!$B$31/Formasjon!$B$30))</f>
        <v>5.32673800109979</v>
      </c>
      <c r="O116" s="49">
        <f aca="true" t="shared" si="43" ref="O116:O153">$B$2-L116</f>
        <v>4698666388.179788</v>
      </c>
      <c r="P116" s="49">
        <f>O116/10^5</f>
        <v>46986.663881797875</v>
      </c>
      <c r="Q116" s="6">
        <f aca="true" t="shared" si="44" ref="Q116:Q152">N116/P116</f>
        <v>0.00011336701866086966</v>
      </c>
    </row>
    <row r="117" spans="1:17" ht="12.75">
      <c r="A117" s="45">
        <f aca="true" t="shared" si="45" ref="A117:A147">A116+10*10^5</f>
        <v>1000000</v>
      </c>
      <c r="B117" s="46">
        <f t="shared" si="32"/>
        <v>241.26763633016597</v>
      </c>
      <c r="C117" s="46">
        <f t="shared" si="33"/>
        <v>795.0461575306573</v>
      </c>
      <c r="D117" s="46">
        <f>690*B117*$B$13/Formasjon!$B$19</f>
        <v>12624329.070975931</v>
      </c>
      <c r="E117" s="47">
        <f t="shared" si="34"/>
        <v>0.0030417000143126236</v>
      </c>
      <c r="F117" s="48">
        <f t="shared" si="35"/>
        <v>12418351.546815058</v>
      </c>
      <c r="G117" s="49">
        <f t="shared" si="36"/>
        <v>124.18351546815059</v>
      </c>
      <c r="H117" s="46">
        <f t="shared" si="37"/>
        <v>4361478908.969413</v>
      </c>
      <c r="I117" s="46">
        <f t="shared" si="38"/>
        <v>43614.789089694124</v>
      </c>
      <c r="J117" s="49">
        <f t="shared" si="39"/>
        <v>43738.97260516228</v>
      </c>
      <c r="K117" s="49">
        <f t="shared" si="40"/>
        <v>174955.8904206491</v>
      </c>
      <c r="L117" s="48">
        <f t="shared" si="41"/>
        <v>-4372897260.516228</v>
      </c>
      <c r="M117" s="46" t="str">
        <f t="shared" si="42"/>
        <v>NOT OK</v>
      </c>
      <c r="N117" s="49">
        <f>2*PI()*Formasjon!$D$7*Formasjon!$D$16*(Iterasjon!$B$2-Iterasjon!A117)/(Formasjon!$D$19*LN(Formasjon!$B$31/Formasjon!$B$30))</f>
        <v>5.156554678380947</v>
      </c>
      <c r="O117" s="49">
        <f t="shared" si="43"/>
        <v>4404197260.516228</v>
      </c>
      <c r="P117" s="49">
        <f aca="true" t="shared" si="46" ref="P117:P153">O117/10^5</f>
        <v>44041.97260516228</v>
      </c>
      <c r="Q117" s="6">
        <f t="shared" si="44"/>
        <v>0.00011708273661149622</v>
      </c>
    </row>
    <row r="118" spans="1:17" ht="12.75">
      <c r="A118" s="45">
        <f t="shared" si="45"/>
        <v>2000000</v>
      </c>
      <c r="B118" s="46">
        <f t="shared" si="32"/>
        <v>233.30500806844432</v>
      </c>
      <c r="C118" s="46">
        <f t="shared" si="33"/>
        <v>768.8070104174343</v>
      </c>
      <c r="D118" s="46">
        <f>690*B118*$B$13/Formasjon!$B$19</f>
        <v>12207684.547181346</v>
      </c>
      <c r="E118" s="47">
        <f t="shared" si="34"/>
        <v>0.0030419669684325387</v>
      </c>
      <c r="F118" s="48">
        <f t="shared" si="35"/>
        <v>11613203.80614945</v>
      </c>
      <c r="G118" s="49">
        <f t="shared" si="36"/>
        <v>116.1320380614945</v>
      </c>
      <c r="H118" s="46">
        <f t="shared" si="37"/>
        <v>4078343112.942251</v>
      </c>
      <c r="I118" s="46">
        <f t="shared" si="38"/>
        <v>40783.43112942251</v>
      </c>
      <c r="J118" s="49">
        <f t="shared" si="39"/>
        <v>40899.563167484004</v>
      </c>
      <c r="K118" s="49">
        <f t="shared" si="40"/>
        <v>163598.25266993602</v>
      </c>
      <c r="L118" s="48">
        <f t="shared" si="41"/>
        <v>-4087956316.7484007</v>
      </c>
      <c r="M118" s="46" t="str">
        <f t="shared" si="42"/>
        <v>NOT OK</v>
      </c>
      <c r="N118" s="49">
        <f>2*PI()*Formasjon!$D$7*Formasjon!$D$16*(Iterasjon!$B$2-Iterasjon!A118)/(Formasjon!$D$19*LN(Formasjon!$B$31/Formasjon!$B$30))</f>
        <v>4.986371355662103</v>
      </c>
      <c r="O118" s="49">
        <f t="shared" si="43"/>
        <v>4119256316.7484007</v>
      </c>
      <c r="P118" s="49">
        <f t="shared" si="46"/>
        <v>41192.563167484004</v>
      </c>
      <c r="Q118" s="6">
        <f t="shared" si="44"/>
        <v>0.00012105028122159133</v>
      </c>
    </row>
    <row r="119" spans="1:17" ht="12.75">
      <c r="A119" s="45">
        <f t="shared" si="45"/>
        <v>3000000</v>
      </c>
      <c r="B119" s="46">
        <f t="shared" si="32"/>
        <v>225.34237980672265</v>
      </c>
      <c r="C119" s="46">
        <f t="shared" si="33"/>
        <v>742.5678633042112</v>
      </c>
      <c r="D119" s="46">
        <f>690*B119*$B$13/Formasjon!$B$19</f>
        <v>11791040.02338676</v>
      </c>
      <c r="E119" s="47">
        <f t="shared" si="34"/>
        <v>0.0030422526967611753</v>
      </c>
      <c r="F119" s="48">
        <f t="shared" si="35"/>
        <v>10835038.752502758</v>
      </c>
      <c r="G119" s="49">
        <f t="shared" si="36"/>
        <v>108.35038752502759</v>
      </c>
      <c r="H119" s="46">
        <f t="shared" si="37"/>
        <v>3804708518.1240535</v>
      </c>
      <c r="I119" s="46">
        <f t="shared" si="38"/>
        <v>38047.08518124054</v>
      </c>
      <c r="J119" s="49">
        <f t="shared" si="39"/>
        <v>38155.43556876556</v>
      </c>
      <c r="K119" s="49">
        <f t="shared" si="40"/>
        <v>152621.74227506225</v>
      </c>
      <c r="L119" s="48">
        <f t="shared" si="41"/>
        <v>-3812543556.8765564</v>
      </c>
      <c r="M119" s="46" t="str">
        <f t="shared" si="42"/>
        <v>NOT OK</v>
      </c>
      <c r="N119" s="49">
        <f>2*PI()*Formasjon!$D$7*Formasjon!$D$16*(Iterasjon!$B$2-Iterasjon!A119)/(Formasjon!$D$19*LN(Formasjon!$B$31/Formasjon!$B$30))</f>
        <v>4.81618803294326</v>
      </c>
      <c r="O119" s="49">
        <f t="shared" si="43"/>
        <v>3843843556.8765564</v>
      </c>
      <c r="P119" s="49">
        <f t="shared" si="46"/>
        <v>38438.43556876556</v>
      </c>
      <c r="Q119" s="6">
        <f t="shared" si="44"/>
        <v>0.00012529615114869073</v>
      </c>
    </row>
    <row r="120" spans="1:17" ht="12.75">
      <c r="A120" s="45">
        <f t="shared" si="45"/>
        <v>4000000</v>
      </c>
      <c r="B120" s="46">
        <f t="shared" si="32"/>
        <v>217.37975154500103</v>
      </c>
      <c r="C120" s="46">
        <f t="shared" si="33"/>
        <v>716.3287161909883</v>
      </c>
      <c r="D120" s="46">
        <f>690*B120*$B$13/Formasjon!$B$19</f>
        <v>11374395.499592178</v>
      </c>
      <c r="E120" s="47">
        <f t="shared" si="34"/>
        <v>0.003042559252027512</v>
      </c>
      <c r="F120" s="48">
        <f t="shared" si="35"/>
        <v>10083856.386164416</v>
      </c>
      <c r="G120" s="49">
        <f t="shared" si="36"/>
        <v>100.83856386164416</v>
      </c>
      <c r="H120" s="46">
        <f t="shared" si="37"/>
        <v>3540575124.5148234</v>
      </c>
      <c r="I120" s="46">
        <f t="shared" si="38"/>
        <v>35405.75124514823</v>
      </c>
      <c r="J120" s="49">
        <f t="shared" si="39"/>
        <v>35506.58980900988</v>
      </c>
      <c r="K120" s="49">
        <f t="shared" si="40"/>
        <v>142026.3592360395</v>
      </c>
      <c r="L120" s="48">
        <f t="shared" si="41"/>
        <v>-3546658980.9009876</v>
      </c>
      <c r="M120" s="46" t="str">
        <f t="shared" si="42"/>
        <v>NOT OK</v>
      </c>
      <c r="N120" s="49">
        <f>2*PI()*Formasjon!$D$7*Formasjon!$D$16*(Iterasjon!$B$2-Iterasjon!A120)/(Formasjon!$D$19*LN(Formasjon!$B$31/Formasjon!$B$30))</f>
        <v>4.6460047102244175</v>
      </c>
      <c r="O120" s="49">
        <f t="shared" si="43"/>
        <v>3577958980.9009876</v>
      </c>
      <c r="P120" s="49">
        <f t="shared" si="46"/>
        <v>35779.58980900988</v>
      </c>
      <c r="Q120" s="6">
        <f t="shared" si="44"/>
        <v>0.0001298506979824145</v>
      </c>
    </row>
    <row r="121" spans="1:17" ht="12.75">
      <c r="A121" s="45">
        <f t="shared" si="45"/>
        <v>5000000</v>
      </c>
      <c r="B121" s="46">
        <f t="shared" si="32"/>
        <v>209.41712328327935</v>
      </c>
      <c r="C121" s="46">
        <f t="shared" si="33"/>
        <v>690.0895690777652</v>
      </c>
      <c r="D121" s="46">
        <f>690*B121*$B$13/Formasjon!$B$19</f>
        <v>10957750.975797588</v>
      </c>
      <c r="E121" s="47">
        <f t="shared" si="34"/>
        <v>0.003042888997539515</v>
      </c>
      <c r="F121" s="48">
        <f t="shared" si="35"/>
        <v>9359656.70746739</v>
      </c>
      <c r="G121" s="49">
        <f t="shared" si="36"/>
        <v>93.5965670746739</v>
      </c>
      <c r="H121" s="46">
        <f t="shared" si="37"/>
        <v>3285942932.1145563</v>
      </c>
      <c r="I121" s="46">
        <f t="shared" si="38"/>
        <v>32859.429321145566</v>
      </c>
      <c r="J121" s="49">
        <f t="shared" si="39"/>
        <v>32953.02588822024</v>
      </c>
      <c r="K121" s="49">
        <f t="shared" si="40"/>
        <v>131812.10355288096</v>
      </c>
      <c r="L121" s="48">
        <f t="shared" si="41"/>
        <v>-3290302588.822024</v>
      </c>
      <c r="M121" s="46" t="str">
        <f t="shared" si="42"/>
        <v>NOT OK</v>
      </c>
      <c r="N121" s="49">
        <f>2*PI()*Formasjon!$D$7*Formasjon!$D$16*(Iterasjon!$B$2-Iterasjon!A121)/(Formasjon!$D$19*LN(Formasjon!$B$31/Formasjon!$B$30))</f>
        <v>4.475821387505574</v>
      </c>
      <c r="O121" s="49">
        <f t="shared" si="43"/>
        <v>3321602588.822024</v>
      </c>
      <c r="P121" s="49">
        <f t="shared" si="46"/>
        <v>33216.02588822024</v>
      </c>
      <c r="Q121" s="6">
        <f t="shared" si="44"/>
        <v>0.00013474885293525987</v>
      </c>
    </row>
    <row r="122" spans="1:17" ht="12.75">
      <c r="A122" s="45">
        <f t="shared" si="45"/>
        <v>6000000</v>
      </c>
      <c r="B122" s="46">
        <f t="shared" si="32"/>
        <v>201.45449502155773</v>
      </c>
      <c r="C122" s="46">
        <f t="shared" si="33"/>
        <v>663.8504219645423</v>
      </c>
      <c r="D122" s="46">
        <f>690*B122*$B$13/Formasjon!$B$19</f>
        <v>10541106.452003006</v>
      </c>
      <c r="E122" s="47">
        <f t="shared" si="34"/>
        <v>0.003043244668232933</v>
      </c>
      <c r="F122" s="48">
        <f t="shared" si="35"/>
        <v>8662439.716796763</v>
      </c>
      <c r="G122" s="49">
        <f t="shared" si="36"/>
        <v>86.62439716796763</v>
      </c>
      <c r="H122" s="46">
        <f t="shared" si="37"/>
        <v>3040811940.923256</v>
      </c>
      <c r="I122" s="46">
        <f t="shared" si="38"/>
        <v>30408.11940923256</v>
      </c>
      <c r="J122" s="49">
        <f t="shared" si="39"/>
        <v>30494.74380640053</v>
      </c>
      <c r="K122" s="49">
        <f t="shared" si="40"/>
        <v>121978.97522560212</v>
      </c>
      <c r="L122" s="48">
        <f t="shared" si="41"/>
        <v>-3043474380.640053</v>
      </c>
      <c r="M122" s="46" t="str">
        <f t="shared" si="42"/>
        <v>NOT OK</v>
      </c>
      <c r="N122" s="49">
        <f>2*PI()*Formasjon!$D$7*Formasjon!$D$16*(Iterasjon!$B$2-Iterasjon!A122)/(Formasjon!$D$19*LN(Formasjon!$B$31/Formasjon!$B$30))</f>
        <v>4.305638064786732</v>
      </c>
      <c r="O122" s="49">
        <f t="shared" si="43"/>
        <v>3074774380.640053</v>
      </c>
      <c r="P122" s="49">
        <f t="shared" si="46"/>
        <v>30747.74380640053</v>
      </c>
      <c r="Q122" s="6">
        <f t="shared" si="44"/>
        <v>0.00014003102445163664</v>
      </c>
    </row>
    <row r="123" spans="1:17" ht="12.75">
      <c r="A123" s="45">
        <f t="shared" si="45"/>
        <v>7000000</v>
      </c>
      <c r="B123" s="46">
        <f t="shared" si="32"/>
        <v>193.49186675983609</v>
      </c>
      <c r="C123" s="46">
        <f t="shared" si="33"/>
        <v>637.6112748513193</v>
      </c>
      <c r="D123" s="46">
        <f>690*B123*$B$13/Formasjon!$B$19</f>
        <v>10124461.92820842</v>
      </c>
      <c r="E123" s="47">
        <f t="shared" si="34"/>
        <v>0.003043629446709692</v>
      </c>
      <c r="F123" s="48">
        <f t="shared" si="35"/>
        <v>7992205.414600281</v>
      </c>
      <c r="G123" s="49">
        <f t="shared" si="36"/>
        <v>79.92205414600281</v>
      </c>
      <c r="H123" s="46">
        <f t="shared" si="37"/>
        <v>2805182150.94092</v>
      </c>
      <c r="I123" s="46">
        <f t="shared" si="38"/>
        <v>28051.821509409197</v>
      </c>
      <c r="J123" s="49">
        <f t="shared" si="39"/>
        <v>28131.7435635552</v>
      </c>
      <c r="K123" s="49">
        <f t="shared" si="40"/>
        <v>112526.9742542208</v>
      </c>
      <c r="L123" s="48">
        <f t="shared" si="41"/>
        <v>-2806174356.3555202</v>
      </c>
      <c r="M123" s="46" t="str">
        <f t="shared" si="42"/>
        <v>NOT OK</v>
      </c>
      <c r="N123" s="49">
        <f>2*PI()*Formasjon!$D$7*Formasjon!$D$16*(Iterasjon!$B$2-Iterasjon!A123)/(Formasjon!$D$19*LN(Formasjon!$B$31/Formasjon!$B$30))</f>
        <v>4.135454742067888</v>
      </c>
      <c r="O123" s="49">
        <f t="shared" si="43"/>
        <v>2837474356.3555202</v>
      </c>
      <c r="P123" s="49">
        <f t="shared" si="46"/>
        <v>28374.743563555203</v>
      </c>
      <c r="Q123" s="6">
        <f t="shared" si="44"/>
        <v>0.00014574421554877087</v>
      </c>
    </row>
    <row r="124" spans="1:17" ht="12.75">
      <c r="A124" s="45">
        <f t="shared" si="45"/>
        <v>8000000</v>
      </c>
      <c r="B124" s="46">
        <f t="shared" si="32"/>
        <v>185.5292384981144</v>
      </c>
      <c r="C124" s="46">
        <f t="shared" si="33"/>
        <v>611.3721277380962</v>
      </c>
      <c r="D124" s="46">
        <f>690*B124*$B$13/Formasjon!$B$19</f>
        <v>9707817.404413834</v>
      </c>
      <c r="E124" s="47">
        <f t="shared" si="34"/>
        <v>0.0030440470587431044</v>
      </c>
      <c r="F124" s="48">
        <f t="shared" si="35"/>
        <v>7348953.801401677</v>
      </c>
      <c r="G124" s="49">
        <f t="shared" si="36"/>
        <v>73.48953801401677</v>
      </c>
      <c r="H124" s="46">
        <f t="shared" si="37"/>
        <v>2579053562.1675487</v>
      </c>
      <c r="I124" s="46">
        <f t="shared" si="38"/>
        <v>25790.535621675488</v>
      </c>
      <c r="J124" s="49">
        <f t="shared" si="39"/>
        <v>25864.025159689503</v>
      </c>
      <c r="K124" s="49">
        <f t="shared" si="40"/>
        <v>103456.10063875801</v>
      </c>
      <c r="L124" s="48">
        <f t="shared" si="41"/>
        <v>-2578402515.9689503</v>
      </c>
      <c r="M124" s="46" t="str">
        <f t="shared" si="42"/>
        <v>NOT OK</v>
      </c>
      <c r="N124" s="49">
        <f>2*PI()*Formasjon!$D$7*Formasjon!$D$16*(Iterasjon!$B$2-Iterasjon!A124)/(Formasjon!$D$19*LN(Formasjon!$B$31/Formasjon!$B$30))</f>
        <v>3.965271419349045</v>
      </c>
      <c r="O124" s="49">
        <f t="shared" si="43"/>
        <v>2609702515.9689503</v>
      </c>
      <c r="P124" s="49">
        <f t="shared" si="46"/>
        <v>26097.025159689503</v>
      </c>
      <c r="Q124" s="6">
        <f t="shared" si="44"/>
        <v>0.00015194342631335466</v>
      </c>
    </row>
    <row r="125" spans="1:17" ht="12.75">
      <c r="A125" s="45">
        <f t="shared" si="45"/>
        <v>9000000</v>
      </c>
      <c r="B125" s="46">
        <f t="shared" si="32"/>
        <v>177.56661023639276</v>
      </c>
      <c r="C125" s="46">
        <f t="shared" si="33"/>
        <v>585.1329806248732</v>
      </c>
      <c r="D125" s="46">
        <f>690*B125*$B$13/Formasjon!$B$19</f>
        <v>9291172.88061925</v>
      </c>
      <c r="E125" s="47">
        <f t="shared" si="34"/>
        <v>0.003044501894323582</v>
      </c>
      <c r="F125" s="48">
        <f t="shared" si="35"/>
        <v>6732684.877817493</v>
      </c>
      <c r="G125" s="49">
        <f t="shared" si="36"/>
        <v>67.32684877817493</v>
      </c>
      <c r="H125" s="46">
        <f t="shared" si="37"/>
        <v>2362426174.6031427</v>
      </c>
      <c r="I125" s="46">
        <f t="shared" si="38"/>
        <v>23624.26174603143</v>
      </c>
      <c r="J125" s="49">
        <f t="shared" si="39"/>
        <v>23691.588594809604</v>
      </c>
      <c r="K125" s="49">
        <f t="shared" si="40"/>
        <v>94766.35437923842</v>
      </c>
      <c r="L125" s="48">
        <f t="shared" si="41"/>
        <v>-2360158859.4809604</v>
      </c>
      <c r="M125" s="46" t="str">
        <f t="shared" si="42"/>
        <v>NOT OK</v>
      </c>
      <c r="N125" s="49">
        <f>2*PI()*Formasjon!$D$7*Formasjon!$D$16*(Iterasjon!$B$2-Iterasjon!A125)/(Formasjon!$D$19*LN(Formasjon!$B$31/Formasjon!$B$30))</f>
        <v>3.7950880966302014</v>
      </c>
      <c r="O125" s="49">
        <f t="shared" si="43"/>
        <v>2391458859.4809604</v>
      </c>
      <c r="P125" s="49">
        <f t="shared" si="46"/>
        <v>23914.588594809604</v>
      </c>
      <c r="Q125" s="6">
        <f t="shared" si="44"/>
        <v>0.00015869343022919004</v>
      </c>
    </row>
    <row r="126" spans="1:17" ht="12.75">
      <c r="A126" s="45">
        <f t="shared" si="45"/>
        <v>10000000</v>
      </c>
      <c r="B126" s="46">
        <f t="shared" si="32"/>
        <v>169.60398197467111</v>
      </c>
      <c r="C126" s="46">
        <f t="shared" si="33"/>
        <v>558.8938335116502</v>
      </c>
      <c r="D126" s="46">
        <f>690*B126*$B$13/Formasjon!$B$19</f>
        <v>8874528.356824664</v>
      </c>
      <c r="E126" s="47">
        <f t="shared" si="34"/>
        <v>0.00304499916258535</v>
      </c>
      <c r="F126" s="48">
        <f t="shared" si="35"/>
        <v>6143398.644578587</v>
      </c>
      <c r="G126" s="49">
        <f t="shared" si="36"/>
        <v>61.43398644578587</v>
      </c>
      <c r="H126" s="46">
        <f t="shared" si="37"/>
        <v>2155299988.2477026</v>
      </c>
      <c r="I126" s="46">
        <f t="shared" si="38"/>
        <v>21552.999882477026</v>
      </c>
      <c r="J126" s="49">
        <f t="shared" si="39"/>
        <v>21614.433868922813</v>
      </c>
      <c r="K126" s="49">
        <f t="shared" si="40"/>
        <v>86457.73547569125</v>
      </c>
      <c r="L126" s="48">
        <f t="shared" si="41"/>
        <v>-2151443386.892281</v>
      </c>
      <c r="M126" s="46" t="str">
        <f t="shared" si="42"/>
        <v>NOT OK</v>
      </c>
      <c r="N126" s="49">
        <f>2*PI()*Formasjon!$D$7*Formasjon!$D$16*(Iterasjon!$B$2-Iterasjon!A126)/(Formasjon!$D$19*LN(Formasjon!$B$31/Formasjon!$B$30))</f>
        <v>3.6249047739113585</v>
      </c>
      <c r="O126" s="49">
        <f t="shared" si="43"/>
        <v>2182743386.892281</v>
      </c>
      <c r="P126" s="49">
        <f t="shared" si="46"/>
        <v>21827.43386892281</v>
      </c>
      <c r="Q126" s="6">
        <f t="shared" si="44"/>
        <v>0.0001660710459909985</v>
      </c>
    </row>
    <row r="127" spans="1:17" ht="12.75">
      <c r="A127" s="45">
        <f t="shared" si="45"/>
        <v>11000000</v>
      </c>
      <c r="B127" s="46">
        <f t="shared" si="32"/>
        <v>161.64135371294947</v>
      </c>
      <c r="C127" s="46">
        <f t="shared" si="33"/>
        <v>532.6546863984272</v>
      </c>
      <c r="D127" s="46">
        <f>690*B127*$B$13/Formasjon!$B$19</f>
        <v>8457883.833030079</v>
      </c>
      <c r="E127" s="47">
        <f t="shared" si="34"/>
        <v>0.0030455450922198335</v>
      </c>
      <c r="F127" s="48">
        <f t="shared" si="35"/>
        <v>5581095.102557924</v>
      </c>
      <c r="G127" s="49">
        <f t="shared" si="36"/>
        <v>55.810951025579236</v>
      </c>
      <c r="H127" s="46">
        <f t="shared" si="37"/>
        <v>1957675003.1012273</v>
      </c>
      <c r="I127" s="46">
        <f t="shared" si="38"/>
        <v>19576.750031012274</v>
      </c>
      <c r="J127" s="49">
        <f t="shared" si="39"/>
        <v>19632.560982037852</v>
      </c>
      <c r="K127" s="49">
        <f t="shared" si="40"/>
        <v>78530.24392815141</v>
      </c>
      <c r="L127" s="48">
        <f t="shared" si="41"/>
        <v>-1952256098.2037852</v>
      </c>
      <c r="M127" s="46" t="str">
        <f t="shared" si="42"/>
        <v>NOT OK</v>
      </c>
      <c r="N127" s="49">
        <f>2*PI()*Formasjon!$D$7*Formasjon!$D$16*(Iterasjon!$B$2-Iterasjon!A127)/(Formasjon!$D$19*LN(Formasjon!$B$31/Formasjon!$B$30))</f>
        <v>3.4547214511925155</v>
      </c>
      <c r="O127" s="49">
        <f t="shared" si="43"/>
        <v>1983556098.2037852</v>
      </c>
      <c r="P127" s="49">
        <f t="shared" si="46"/>
        <v>19835.560982037852</v>
      </c>
      <c r="Q127" s="6">
        <f t="shared" si="44"/>
        <v>0.00017416807391134277</v>
      </c>
    </row>
    <row r="128" spans="1:17" ht="12.75">
      <c r="A128" s="45">
        <f t="shared" si="45"/>
        <v>12000000</v>
      </c>
      <c r="B128" s="46">
        <f t="shared" si="32"/>
        <v>153.67872545122782</v>
      </c>
      <c r="C128" s="46">
        <f t="shared" si="33"/>
        <v>506.4155392852041</v>
      </c>
      <c r="D128" s="46">
        <f>690*B128*$B$13/Formasjon!$B$19</f>
        <v>8041239.309235494</v>
      </c>
      <c r="E128" s="47">
        <f t="shared" si="34"/>
        <v>0.003046147193758679</v>
      </c>
      <c r="F128" s="48">
        <f t="shared" si="35"/>
        <v>5045774.252806877</v>
      </c>
      <c r="G128" s="49">
        <f t="shared" si="36"/>
        <v>50.45774252806877</v>
      </c>
      <c r="H128" s="46">
        <f t="shared" si="37"/>
        <v>1769551219.163716</v>
      </c>
      <c r="I128" s="46">
        <f t="shared" si="38"/>
        <v>17695.51219163716</v>
      </c>
      <c r="J128" s="49">
        <f t="shared" si="39"/>
        <v>17745.96993416523</v>
      </c>
      <c r="K128" s="49">
        <f t="shared" si="40"/>
        <v>70983.87973666092</v>
      </c>
      <c r="L128" s="48">
        <f t="shared" si="41"/>
        <v>-1762596993.416523</v>
      </c>
      <c r="M128" s="46" t="str">
        <f t="shared" si="42"/>
        <v>NOT OK</v>
      </c>
      <c r="N128" s="49">
        <f>2*PI()*Formasjon!$D$7*Formasjon!$D$16*(Iterasjon!$B$2-Iterasjon!A128)/(Formasjon!$D$19*LN(Formasjon!$B$31/Formasjon!$B$30))</f>
        <v>3.284538128473672</v>
      </c>
      <c r="O128" s="49">
        <f t="shared" si="43"/>
        <v>1793896993.416523</v>
      </c>
      <c r="P128" s="49">
        <f t="shared" si="46"/>
        <v>17938.96993416523</v>
      </c>
      <c r="Q128" s="6">
        <f t="shared" si="44"/>
        <v>0.00018309513536884773</v>
      </c>
    </row>
    <row r="129" spans="1:17" ht="12.75">
      <c r="A129" s="45">
        <f t="shared" si="45"/>
        <v>13000000</v>
      </c>
      <c r="B129" s="46">
        <f t="shared" si="32"/>
        <v>145.71609718950617</v>
      </c>
      <c r="C129" s="46">
        <f t="shared" si="33"/>
        <v>480.17639217198115</v>
      </c>
      <c r="D129" s="46">
        <f>690*B129*$B$13/Formasjon!$B$19</f>
        <v>7624594.785440909</v>
      </c>
      <c r="E129" s="47">
        <f t="shared" si="34"/>
        <v>0.0030468146072190586</v>
      </c>
      <c r="F129" s="48">
        <f t="shared" si="35"/>
        <v>4537436.096603258</v>
      </c>
      <c r="G129" s="49">
        <f t="shared" si="36"/>
        <v>45.374360966032576</v>
      </c>
      <c r="H129" s="46">
        <f t="shared" si="37"/>
        <v>1590928636.4351716</v>
      </c>
      <c r="I129" s="46">
        <f t="shared" si="38"/>
        <v>15909.286364351716</v>
      </c>
      <c r="J129" s="49">
        <f t="shared" si="39"/>
        <v>15954.660725317748</v>
      </c>
      <c r="K129" s="49">
        <f t="shared" si="40"/>
        <v>63818.64290127099</v>
      </c>
      <c r="L129" s="48">
        <f t="shared" si="41"/>
        <v>-1582466072.5317748</v>
      </c>
      <c r="M129" s="46" t="str">
        <f t="shared" si="42"/>
        <v>NOT OK</v>
      </c>
      <c r="N129" s="49">
        <f>2*PI()*Formasjon!$D$7*Formasjon!$D$16*(Iterasjon!$B$2-Iterasjon!A129)/(Formasjon!$D$19*LN(Formasjon!$B$31/Formasjon!$B$30))</f>
        <v>3.114354805754829</v>
      </c>
      <c r="O129" s="49">
        <f t="shared" si="43"/>
        <v>1613766072.5317748</v>
      </c>
      <c r="P129" s="49">
        <f t="shared" si="46"/>
        <v>16137.660725317748</v>
      </c>
      <c r="Q129" s="6">
        <f t="shared" si="44"/>
        <v>0.0001929867568022941</v>
      </c>
    </row>
    <row r="130" spans="1:17" ht="12.75">
      <c r="A130" s="45">
        <f t="shared" si="45"/>
        <v>14000000</v>
      </c>
      <c r="B130" s="46">
        <f t="shared" si="32"/>
        <v>137.75346892778452</v>
      </c>
      <c r="C130" s="46">
        <f t="shared" si="33"/>
        <v>453.93724505875815</v>
      </c>
      <c r="D130" s="46">
        <f>690*B130*$B$13/Formasjon!$B$19</f>
        <v>7207950.261646323</v>
      </c>
      <c r="E130" s="47">
        <f t="shared" si="34"/>
        <v>0.0030475585693838293</v>
      </c>
      <c r="F130" s="48">
        <f t="shared" si="35"/>
        <v>4056080.6355157457</v>
      </c>
      <c r="G130" s="49">
        <f t="shared" si="36"/>
        <v>40.56080635515746</v>
      </c>
      <c r="H130" s="46">
        <f t="shared" si="37"/>
        <v>1421807254.9155917</v>
      </c>
      <c r="I130" s="46">
        <f t="shared" si="38"/>
        <v>14218.072549155917</v>
      </c>
      <c r="J130" s="49">
        <f t="shared" si="39"/>
        <v>14258.633355511074</v>
      </c>
      <c r="K130" s="49">
        <f t="shared" si="40"/>
        <v>57034.5334220443</v>
      </c>
      <c r="L130" s="48">
        <f t="shared" si="41"/>
        <v>-1411863335.5511074</v>
      </c>
      <c r="M130" s="46" t="str">
        <f t="shared" si="42"/>
        <v>NOT OK</v>
      </c>
      <c r="N130" s="49">
        <f>2*PI()*Formasjon!$D$7*Formasjon!$D$16*(Iterasjon!$B$2-Iterasjon!A130)/(Formasjon!$D$19*LN(Formasjon!$B$31/Formasjon!$B$30))</f>
        <v>2.944171483035986</v>
      </c>
      <c r="O130" s="49">
        <f t="shared" si="43"/>
        <v>1443163335.5511074</v>
      </c>
      <c r="P130" s="49">
        <f t="shared" si="46"/>
        <v>14431.633355511074</v>
      </c>
      <c r="Q130" s="6">
        <f t="shared" si="44"/>
        <v>0.00020400819578136537</v>
      </c>
    </row>
    <row r="131" spans="1:17" ht="12.75">
      <c r="A131" s="45">
        <f t="shared" si="45"/>
        <v>15000000</v>
      </c>
      <c r="B131" s="46">
        <f t="shared" si="32"/>
        <v>129.79084066606288</v>
      </c>
      <c r="C131" s="46">
        <f t="shared" si="33"/>
        <v>427.6980979455351</v>
      </c>
      <c r="D131" s="46">
        <f>690*B131*$B$13/Formasjon!$B$19</f>
        <v>6791305.737851739</v>
      </c>
      <c r="E131" s="47">
        <f t="shared" si="34"/>
        <v>0.0030483930516728435</v>
      </c>
      <c r="F131" s="48">
        <f t="shared" si="35"/>
        <v>3601707.8714916646</v>
      </c>
      <c r="G131" s="49">
        <f t="shared" si="36"/>
        <v>36.01707871491664</v>
      </c>
      <c r="H131" s="46">
        <f t="shared" si="37"/>
        <v>1262187074.604977</v>
      </c>
      <c r="I131" s="46">
        <f t="shared" si="38"/>
        <v>12621.870746049768</v>
      </c>
      <c r="J131" s="49">
        <f t="shared" si="39"/>
        <v>12657.887824764684</v>
      </c>
      <c r="K131" s="49">
        <f t="shared" si="40"/>
        <v>50631.55129905874</v>
      </c>
      <c r="L131" s="48">
        <f t="shared" si="41"/>
        <v>-1250788782.4764686</v>
      </c>
      <c r="M131" s="46" t="str">
        <f t="shared" si="42"/>
        <v>NOT OK</v>
      </c>
      <c r="N131" s="49">
        <f>2*PI()*Formasjon!$D$7*Formasjon!$D$16*(Iterasjon!$B$2-Iterasjon!A131)/(Formasjon!$D$19*LN(Formasjon!$B$31/Formasjon!$B$30))</f>
        <v>2.773988160317143</v>
      </c>
      <c r="O131" s="49">
        <f t="shared" si="43"/>
        <v>1282088782.4764686</v>
      </c>
      <c r="P131" s="49">
        <f t="shared" si="46"/>
        <v>12820.887824764686</v>
      </c>
      <c r="Q131" s="6">
        <f t="shared" si="44"/>
        <v>0.00021636474776410864</v>
      </c>
    </row>
    <row r="132" spans="1:17" ht="12.75">
      <c r="A132" s="45">
        <f t="shared" si="45"/>
        <v>16000000</v>
      </c>
      <c r="B132" s="46">
        <f t="shared" si="32"/>
        <v>121.82821240434123</v>
      </c>
      <c r="C132" s="46">
        <f t="shared" si="33"/>
        <v>401.4589508323121</v>
      </c>
      <c r="D132" s="46">
        <f>690*B132*$B$13/Formasjon!$B$19</f>
        <v>6374661.214057153</v>
      </c>
      <c r="E132" s="47">
        <f t="shared" si="34"/>
        <v>0.003049335645974576</v>
      </c>
      <c r="F132" s="48">
        <f t="shared" si="35"/>
        <v>3174317.806978542</v>
      </c>
      <c r="G132" s="49">
        <f t="shared" si="36"/>
        <v>31.74317806978542</v>
      </c>
      <c r="H132" s="46">
        <f t="shared" si="37"/>
        <v>1112068095.5033274</v>
      </c>
      <c r="I132" s="46">
        <f t="shared" si="38"/>
        <v>11120.680955033275</v>
      </c>
      <c r="J132" s="49">
        <f t="shared" si="39"/>
        <v>11152.42413310306</v>
      </c>
      <c r="K132" s="49">
        <f t="shared" si="40"/>
        <v>44609.69653241224</v>
      </c>
      <c r="L132" s="48">
        <f t="shared" si="41"/>
        <v>-1099242413.3103058</v>
      </c>
      <c r="M132" s="46" t="str">
        <f t="shared" si="42"/>
        <v>NOT OK</v>
      </c>
      <c r="N132" s="49">
        <f>2*PI()*Formasjon!$D$7*Formasjon!$D$16*(Iterasjon!$B$2-Iterasjon!A132)/(Formasjon!$D$19*LN(Formasjon!$B$31/Formasjon!$B$30))</f>
        <v>2.6038048375983</v>
      </c>
      <c r="O132" s="49">
        <f t="shared" si="43"/>
        <v>1130542413.3103058</v>
      </c>
      <c r="P132" s="49">
        <f t="shared" si="46"/>
        <v>11305.424133103059</v>
      </c>
      <c r="Q132" s="6">
        <f t="shared" si="44"/>
        <v>0.00023031465312072462</v>
      </c>
    </row>
    <row r="133" spans="1:17" ht="12.75">
      <c r="A133" s="45">
        <f t="shared" si="45"/>
        <v>17000000</v>
      </c>
      <c r="B133" s="46">
        <f t="shared" si="32"/>
        <v>113.8655841426196</v>
      </c>
      <c r="C133" s="46">
        <f t="shared" si="33"/>
        <v>375.2198037190891</v>
      </c>
      <c r="D133" s="46">
        <f>690*B133*$B$13/Formasjon!$B$19</f>
        <v>5958016.690262569</v>
      </c>
      <c r="E133" s="47">
        <f t="shared" si="34"/>
        <v>0.0030504088186906137</v>
      </c>
      <c r="F133" s="48">
        <f t="shared" si="35"/>
        <v>2773910.445095759</v>
      </c>
      <c r="G133" s="49">
        <f t="shared" si="36"/>
        <v>27.73910445095759</v>
      </c>
      <c r="H133" s="46">
        <f t="shared" si="37"/>
        <v>971450317.610643</v>
      </c>
      <c r="I133" s="46">
        <f t="shared" si="38"/>
        <v>9714.503176106431</v>
      </c>
      <c r="J133" s="49">
        <f t="shared" si="39"/>
        <v>9742.242280557388</v>
      </c>
      <c r="K133" s="49">
        <f t="shared" si="40"/>
        <v>38968.96912222955</v>
      </c>
      <c r="L133" s="48">
        <f t="shared" si="41"/>
        <v>-957224228.0557388</v>
      </c>
      <c r="M133" s="46" t="str">
        <f t="shared" si="42"/>
        <v>NOT OK</v>
      </c>
      <c r="N133" s="49">
        <f>2*PI()*Formasjon!$D$7*Formasjon!$D$16*(Iterasjon!$B$2-Iterasjon!A133)/(Formasjon!$D$19*LN(Formasjon!$B$31/Formasjon!$B$30))</f>
        <v>2.433621514879457</v>
      </c>
      <c r="O133" s="49">
        <f t="shared" si="43"/>
        <v>988524228.0557388</v>
      </c>
      <c r="P133" s="49">
        <f t="shared" si="46"/>
        <v>9885.242280557388</v>
      </c>
      <c r="Q133" s="6">
        <f t="shared" si="44"/>
        <v>0.00024618734127194655</v>
      </c>
    </row>
    <row r="134" spans="1:17" ht="12.75">
      <c r="A134" s="45">
        <f t="shared" si="45"/>
        <v>18000000</v>
      </c>
      <c r="B134" s="46">
        <f t="shared" si="32"/>
        <v>105.90295588089793</v>
      </c>
      <c r="C134" s="46">
        <f t="shared" si="33"/>
        <v>348.98065660586605</v>
      </c>
      <c r="D134" s="46">
        <f>690*B134*$B$13/Formasjon!$B$19</f>
        <v>5541372.166467983</v>
      </c>
      <c r="E134" s="47">
        <f t="shared" si="34"/>
        <v>0.0030516417248613956</v>
      </c>
      <c r="F134" s="48">
        <f t="shared" si="35"/>
        <v>2400485.789882074</v>
      </c>
      <c r="G134" s="49">
        <f t="shared" si="36"/>
        <v>24.00485789882074</v>
      </c>
      <c r="H134" s="46">
        <f t="shared" si="37"/>
        <v>840333740.9269236</v>
      </c>
      <c r="I134" s="46">
        <f t="shared" si="38"/>
        <v>8403.337409269236</v>
      </c>
      <c r="J134" s="49">
        <f t="shared" si="39"/>
        <v>8427.342267168056</v>
      </c>
      <c r="K134" s="49">
        <f t="shared" si="40"/>
        <v>33709.369068672226</v>
      </c>
      <c r="L134" s="48">
        <f t="shared" si="41"/>
        <v>-824734226.7168057</v>
      </c>
      <c r="M134" s="46" t="str">
        <f t="shared" si="42"/>
        <v>NOT OK</v>
      </c>
      <c r="N134" s="49">
        <f>2*PI()*Formasjon!$D$7*Formasjon!$D$16*(Iterasjon!$B$2-Iterasjon!A134)/(Formasjon!$D$19*LN(Formasjon!$B$31/Formasjon!$B$30))</f>
        <v>2.2634381921606135</v>
      </c>
      <c r="O134" s="49">
        <f t="shared" si="43"/>
        <v>856034226.7168057</v>
      </c>
      <c r="P134" s="49">
        <f t="shared" si="46"/>
        <v>8560.342267168056</v>
      </c>
      <c r="Q134" s="6">
        <f t="shared" si="44"/>
        <v>0.00026440977726342795</v>
      </c>
    </row>
    <row r="135" spans="1:17" ht="12.75">
      <c r="A135" s="45">
        <f t="shared" si="45"/>
        <v>19000000</v>
      </c>
      <c r="B135" s="46">
        <f t="shared" si="32"/>
        <v>97.94032761917629</v>
      </c>
      <c r="C135" s="46">
        <f t="shared" si="33"/>
        <v>322.74150949264305</v>
      </c>
      <c r="D135" s="46">
        <f>690*B135*$B$13/Formasjon!$B$19</f>
        <v>5124727.642673398</v>
      </c>
      <c r="E135" s="47">
        <f t="shared" si="34"/>
        <v>0.00305307289770267</v>
      </c>
      <c r="F135" s="48">
        <f t="shared" si="35"/>
        <v>2054043.8466613025</v>
      </c>
      <c r="G135" s="49">
        <f t="shared" si="36"/>
        <v>20.540438466613026</v>
      </c>
      <c r="H135" s="46">
        <f t="shared" si="37"/>
        <v>718718365.4521697</v>
      </c>
      <c r="I135" s="46">
        <f t="shared" si="38"/>
        <v>7187.183654521697</v>
      </c>
      <c r="J135" s="49">
        <f t="shared" si="39"/>
        <v>7207.724092988309</v>
      </c>
      <c r="K135" s="49">
        <f t="shared" si="40"/>
        <v>28830.896371953237</v>
      </c>
      <c r="L135" s="48">
        <f t="shared" si="41"/>
        <v>-701772409.298831</v>
      </c>
      <c r="M135" s="46" t="str">
        <f t="shared" si="42"/>
        <v>NOT OK</v>
      </c>
      <c r="N135" s="49">
        <f>2*PI()*Formasjon!$D$7*Formasjon!$D$16*(Iterasjon!$B$2-Iterasjon!A135)/(Formasjon!$D$19*LN(Formasjon!$B$31/Formasjon!$B$30))</f>
        <v>2.0932548694417705</v>
      </c>
      <c r="O135" s="49">
        <f t="shared" si="43"/>
        <v>733072409.298831</v>
      </c>
      <c r="P135" s="49">
        <f t="shared" si="46"/>
        <v>7330.72409298831</v>
      </c>
      <c r="Q135" s="6">
        <f t="shared" si="44"/>
        <v>0.00028554544447306735</v>
      </c>
    </row>
    <row r="136" spans="1:17" ht="12.75">
      <c r="A136" s="45">
        <f t="shared" si="45"/>
        <v>20000000</v>
      </c>
      <c r="B136" s="46">
        <f t="shared" si="32"/>
        <v>89.97769935745464</v>
      </c>
      <c r="C136" s="46">
        <f t="shared" si="33"/>
        <v>296.50236237942005</v>
      </c>
      <c r="D136" s="46">
        <f>690*B136*$B$13/Formasjon!$B$19</f>
        <v>4708083.1188788125</v>
      </c>
      <c r="E136" s="47">
        <f t="shared" si="34"/>
        <v>0.003054754349543303</v>
      </c>
      <c r="F136" s="48">
        <f t="shared" si="35"/>
        <v>1734584.6225975982</v>
      </c>
      <c r="G136" s="49">
        <f t="shared" si="36"/>
        <v>17.345846225975983</v>
      </c>
      <c r="H136" s="46">
        <f t="shared" si="37"/>
        <v>606604191.1863809</v>
      </c>
      <c r="I136" s="46">
        <f t="shared" si="38"/>
        <v>6066.041911863808</v>
      </c>
      <c r="J136" s="49">
        <f t="shared" si="39"/>
        <v>6083.387758089784</v>
      </c>
      <c r="K136" s="49">
        <f t="shared" si="40"/>
        <v>24333.551032359137</v>
      </c>
      <c r="L136" s="48">
        <f t="shared" si="41"/>
        <v>-588338775.8089784</v>
      </c>
      <c r="M136" s="46" t="str">
        <f t="shared" si="42"/>
        <v>NOT OK</v>
      </c>
      <c r="N136" s="49">
        <f>2*PI()*Formasjon!$D$7*Formasjon!$D$16*(Iterasjon!$B$2-Iterasjon!A136)/(Formasjon!$D$19*LN(Formasjon!$B$31/Formasjon!$B$30))</f>
        <v>1.9230715467229273</v>
      </c>
      <c r="O136" s="49">
        <f t="shared" si="43"/>
        <v>619638775.8089784</v>
      </c>
      <c r="P136" s="49">
        <f t="shared" si="46"/>
        <v>6196.387758089784</v>
      </c>
      <c r="Q136" s="6">
        <f t="shared" si="44"/>
        <v>0.00031035364825453884</v>
      </c>
    </row>
    <row r="137" spans="1:17" ht="12.75">
      <c r="A137" s="45">
        <f t="shared" si="45"/>
        <v>21000000</v>
      </c>
      <c r="B137" s="46">
        <f t="shared" si="32"/>
        <v>82.01507109573299</v>
      </c>
      <c r="C137" s="46">
        <f t="shared" si="33"/>
        <v>270.26321526619705</v>
      </c>
      <c r="D137" s="46">
        <f>690*B137*$B$13/Formasjon!$B$19</f>
        <v>4291438.595084228</v>
      </c>
      <c r="E137" s="47">
        <f t="shared" si="34"/>
        <v>0.003056758031205545</v>
      </c>
      <c r="F137" s="48">
        <f t="shared" si="35"/>
        <v>1442108.1275659574</v>
      </c>
      <c r="G137" s="49">
        <f t="shared" si="36"/>
        <v>14.421081275659574</v>
      </c>
      <c r="H137" s="46">
        <f t="shared" si="37"/>
        <v>503991218.1295571</v>
      </c>
      <c r="I137" s="46">
        <f t="shared" si="38"/>
        <v>5039.912181295571</v>
      </c>
      <c r="J137" s="49">
        <f t="shared" si="39"/>
        <v>5054.33326257123</v>
      </c>
      <c r="K137" s="49">
        <f t="shared" si="40"/>
        <v>20217.33305028492</v>
      </c>
      <c r="L137" s="48">
        <f t="shared" si="41"/>
        <v>-484433326.25712305</v>
      </c>
      <c r="M137" s="46" t="str">
        <f t="shared" si="42"/>
        <v>NOT OK</v>
      </c>
      <c r="N137" s="49">
        <f>2*PI()*Formasjon!$D$7*Formasjon!$D$16*(Iterasjon!$B$2-Iterasjon!A137)/(Formasjon!$D$19*LN(Formasjon!$B$31/Formasjon!$B$30))</f>
        <v>1.7528882240040844</v>
      </c>
      <c r="O137" s="49">
        <f t="shared" si="43"/>
        <v>515733326.25712305</v>
      </c>
      <c r="P137" s="49">
        <f t="shared" si="46"/>
        <v>5157.33326257123</v>
      </c>
      <c r="Q137" s="6">
        <f t="shared" si="44"/>
        <v>0.00033988267477796615</v>
      </c>
    </row>
    <row r="138" spans="1:17" ht="12.75">
      <c r="A138" s="45">
        <f t="shared" si="45"/>
        <v>22000000</v>
      </c>
      <c r="B138" s="46">
        <f t="shared" si="32"/>
        <v>74.05244283401133</v>
      </c>
      <c r="C138" s="46">
        <f t="shared" si="33"/>
        <v>244.024068152974</v>
      </c>
      <c r="D138" s="46">
        <f>690*B138*$B$13/Formasjon!$B$19</f>
        <v>3874794.0712896422</v>
      </c>
      <c r="E138" s="47">
        <f t="shared" si="34"/>
        <v>0.0030591864002123877</v>
      </c>
      <c r="F138" s="48">
        <f t="shared" si="35"/>
        <v>1176614.375568479</v>
      </c>
      <c r="G138" s="49">
        <f t="shared" si="36"/>
        <v>11.76614375568479</v>
      </c>
      <c r="H138" s="46">
        <f t="shared" si="37"/>
        <v>410879446.28169835</v>
      </c>
      <c r="I138" s="46">
        <f t="shared" si="38"/>
        <v>4108.7944628169835</v>
      </c>
      <c r="J138" s="49">
        <f t="shared" si="39"/>
        <v>4120.560606572668</v>
      </c>
      <c r="K138" s="49">
        <f t="shared" si="40"/>
        <v>16482.24242629067</v>
      </c>
      <c r="L138" s="48">
        <f t="shared" si="41"/>
        <v>-390056060.65726686</v>
      </c>
      <c r="M138" s="46" t="str">
        <f t="shared" si="42"/>
        <v>NOT OK</v>
      </c>
      <c r="N138" s="49">
        <f>2*PI()*Formasjon!$D$7*Formasjon!$D$16*(Iterasjon!$B$2-Iterasjon!A138)/(Formasjon!$D$19*LN(Formasjon!$B$31/Formasjon!$B$30))</f>
        <v>1.582704901285241</v>
      </c>
      <c r="O138" s="49">
        <f t="shared" si="43"/>
        <v>421356060.65726686</v>
      </c>
      <c r="P138" s="49">
        <f t="shared" si="46"/>
        <v>4213.560606572669</v>
      </c>
      <c r="Q138" s="6">
        <f t="shared" si="44"/>
        <v>0.0003756217244903049</v>
      </c>
    </row>
    <row r="139" spans="1:17" ht="12.75">
      <c r="A139" s="45">
        <f t="shared" si="45"/>
        <v>23000000</v>
      </c>
      <c r="B139" s="46">
        <f t="shared" si="32"/>
        <v>66.08981457228968</v>
      </c>
      <c r="C139" s="46">
        <f t="shared" si="33"/>
        <v>217.784921039751</v>
      </c>
      <c r="D139" s="46">
        <f>690*B139*$B$13/Formasjon!$B$19</f>
        <v>3458149.5474950564</v>
      </c>
      <c r="E139" s="47">
        <f t="shared" si="34"/>
        <v>0.003062190509257383</v>
      </c>
      <c r="F139" s="48">
        <f t="shared" si="35"/>
        <v>938103.3871422373</v>
      </c>
      <c r="G139" s="49">
        <f t="shared" si="36"/>
        <v>9.381033871422373</v>
      </c>
      <c r="H139" s="46">
        <f t="shared" si="37"/>
        <v>327268875.642805</v>
      </c>
      <c r="I139" s="46">
        <f t="shared" si="38"/>
        <v>3272.6887564280496</v>
      </c>
      <c r="J139" s="49">
        <f t="shared" si="39"/>
        <v>3282.069790299472</v>
      </c>
      <c r="K139" s="49">
        <f t="shared" si="40"/>
        <v>13128.279161197888</v>
      </c>
      <c r="L139" s="48">
        <f t="shared" si="41"/>
        <v>-305206979.0299472</v>
      </c>
      <c r="M139" s="46" t="str">
        <f t="shared" si="42"/>
        <v>NOT OK</v>
      </c>
      <c r="N139" s="49">
        <f>2*PI()*Formasjon!$D$7*Formasjon!$D$16*(Iterasjon!$B$2-Iterasjon!A139)/(Formasjon!$D$19*LN(Formasjon!$B$31/Formasjon!$B$30))</f>
        <v>1.4125215785663978</v>
      </c>
      <c r="O139" s="49">
        <f t="shared" si="43"/>
        <v>336506979.0299472</v>
      </c>
      <c r="P139" s="49">
        <f t="shared" si="46"/>
        <v>3365.069790299472</v>
      </c>
      <c r="Q139" s="6">
        <f t="shared" si="44"/>
        <v>0.0004197599653470163</v>
      </c>
    </row>
    <row r="140" spans="1:17" ht="12.75">
      <c r="A140" s="45">
        <f t="shared" si="45"/>
        <v>24000000</v>
      </c>
      <c r="B140" s="46">
        <f t="shared" si="32"/>
        <v>58.12718631056804</v>
      </c>
      <c r="C140" s="46">
        <f t="shared" si="33"/>
        <v>191.545773926528</v>
      </c>
      <c r="D140" s="46">
        <f>690*B140*$B$13/Formasjon!$B$19</f>
        <v>3041505.023700472</v>
      </c>
      <c r="E140" s="47">
        <f t="shared" si="34"/>
        <v>0.003066002699834321</v>
      </c>
      <c r="F140" s="48">
        <f t="shared" si="35"/>
        <v>726575.1936758537</v>
      </c>
      <c r="G140" s="49">
        <f t="shared" si="36"/>
        <v>7.265751936758536</v>
      </c>
      <c r="H140" s="46">
        <f t="shared" si="37"/>
        <v>253159506.21287677</v>
      </c>
      <c r="I140" s="46">
        <f t="shared" si="38"/>
        <v>2531.5950621287675</v>
      </c>
      <c r="J140" s="49">
        <f t="shared" si="39"/>
        <v>2538.860814065526</v>
      </c>
      <c r="K140" s="49">
        <f t="shared" si="40"/>
        <v>10155.443256262104</v>
      </c>
      <c r="L140" s="48">
        <f t="shared" si="41"/>
        <v>-229886081.4065526</v>
      </c>
      <c r="M140" s="46" t="str">
        <f t="shared" si="42"/>
        <v>NOT OK</v>
      </c>
      <c r="N140" s="49">
        <f>2*PI()*Formasjon!$D$7*Formasjon!$D$16*(Iterasjon!$B$2-Iterasjon!A140)/(Formasjon!$D$19*LN(Formasjon!$B$31/Formasjon!$B$30))</f>
        <v>1.2423382558475549</v>
      </c>
      <c r="O140" s="49">
        <f t="shared" si="43"/>
        <v>261186081.4065526</v>
      </c>
      <c r="P140" s="49">
        <f t="shared" si="46"/>
        <v>2611.860814065526</v>
      </c>
      <c r="Q140" s="6">
        <f t="shared" si="44"/>
        <v>0.00047565254976729676</v>
      </c>
    </row>
    <row r="141" spans="1:17" ht="12.75">
      <c r="A141" s="45">
        <f t="shared" si="45"/>
        <v>25000000</v>
      </c>
      <c r="B141" s="46">
        <f t="shared" si="32"/>
        <v>50.16455804884639</v>
      </c>
      <c r="C141" s="46">
        <f t="shared" si="33"/>
        <v>165.30662681330497</v>
      </c>
      <c r="D141" s="46">
        <f>690*B141*$B$13/Formasjon!$B$19</f>
        <v>2624860.4999058866</v>
      </c>
      <c r="E141" s="47">
        <f t="shared" si="34"/>
        <v>0.003070999803091242</v>
      </c>
      <c r="F141" s="48">
        <f t="shared" si="35"/>
        <v>542029.8456690437</v>
      </c>
      <c r="G141" s="49">
        <f t="shared" si="36"/>
        <v>5.420298456690437</v>
      </c>
      <c r="H141" s="46">
        <f t="shared" si="37"/>
        <v>188551337.99191362</v>
      </c>
      <c r="I141" s="46">
        <f t="shared" si="38"/>
        <v>1885.5133799191362</v>
      </c>
      <c r="J141" s="49">
        <f t="shared" si="39"/>
        <v>1890.9336783758267</v>
      </c>
      <c r="K141" s="49">
        <f t="shared" si="40"/>
        <v>7563.734713503307</v>
      </c>
      <c r="L141" s="48">
        <f t="shared" si="41"/>
        <v>-164093367.83758265</v>
      </c>
      <c r="M141" s="46" t="str">
        <f t="shared" si="42"/>
        <v>NOT OK</v>
      </c>
      <c r="N141" s="49">
        <f>2*PI()*Formasjon!$D$7*Formasjon!$D$16*(Iterasjon!$B$2-Iterasjon!A141)/(Formasjon!$D$19*LN(Formasjon!$B$31/Formasjon!$B$30))</f>
        <v>1.0721549331287117</v>
      </c>
      <c r="O141" s="49">
        <f t="shared" si="43"/>
        <v>195393367.83758265</v>
      </c>
      <c r="P141" s="49">
        <f t="shared" si="46"/>
        <v>1953.9336783758265</v>
      </c>
      <c r="Q141" s="6">
        <f t="shared" si="44"/>
        <v>0.0005487161335076233</v>
      </c>
    </row>
    <row r="142" spans="1:17" ht="12.75">
      <c r="A142" s="45">
        <f t="shared" si="45"/>
        <v>26000000</v>
      </c>
      <c r="B142" s="46">
        <f t="shared" si="32"/>
        <v>42.20192978712474</v>
      </c>
      <c r="C142" s="46">
        <f t="shared" si="33"/>
        <v>139.06747970008198</v>
      </c>
      <c r="D142" s="46">
        <f>690*B142*$B$13/Formasjon!$B$19</f>
        <v>2208215.9761113017</v>
      </c>
      <c r="E142" s="47">
        <f t="shared" si="34"/>
        <v>0.0030778361917686795</v>
      </c>
      <c r="F142" s="48">
        <f t="shared" si="35"/>
        <v>384467.42989284353</v>
      </c>
      <c r="G142" s="49">
        <f t="shared" si="36"/>
        <v>3.8446742989284353</v>
      </c>
      <c r="H142" s="46">
        <f t="shared" si="37"/>
        <v>133444370.97991571</v>
      </c>
      <c r="I142" s="46">
        <f t="shared" si="38"/>
        <v>1334.443709799157</v>
      </c>
      <c r="J142" s="49">
        <f t="shared" si="39"/>
        <v>1338.2883840980853</v>
      </c>
      <c r="K142" s="49">
        <f t="shared" si="40"/>
        <v>5353.153536392341</v>
      </c>
      <c r="L142" s="48">
        <f t="shared" si="41"/>
        <v>-107828838.40980855</v>
      </c>
      <c r="M142" s="46" t="str">
        <f t="shared" si="42"/>
        <v>NOT OK</v>
      </c>
      <c r="N142" s="49">
        <f>2*PI()*Formasjon!$D$7*Formasjon!$D$16*(Iterasjon!$B$2-Iterasjon!A142)/(Formasjon!$D$19*LN(Formasjon!$B$31/Formasjon!$B$30))</f>
        <v>0.9019716104098686</v>
      </c>
      <c r="O142" s="49">
        <f t="shared" si="43"/>
        <v>139128838.40980855</v>
      </c>
      <c r="P142" s="49">
        <f t="shared" si="46"/>
        <v>1391.2883840980855</v>
      </c>
      <c r="Q142" s="6">
        <f t="shared" si="44"/>
        <v>0.0006482995335252363</v>
      </c>
    </row>
    <row r="143" spans="1:17" ht="12.75">
      <c r="A143" s="45">
        <f t="shared" si="45"/>
        <v>27000000</v>
      </c>
      <c r="B143" s="46">
        <f t="shared" si="32"/>
        <v>34.23930152540309</v>
      </c>
      <c r="C143" s="46">
        <f t="shared" si="33"/>
        <v>112.82833258685896</v>
      </c>
      <c r="D143" s="46">
        <f>690*B143*$B$13/Formasjon!$B$19</f>
        <v>1791571.4523167165</v>
      </c>
      <c r="E143" s="47">
        <f t="shared" si="34"/>
        <v>0.003087757155116984</v>
      </c>
      <c r="F143" s="48">
        <f t="shared" si="35"/>
        <v>253888.10909528483</v>
      </c>
      <c r="G143" s="49">
        <f t="shared" si="36"/>
        <v>2.5388810909528483</v>
      </c>
      <c r="H143" s="46">
        <f t="shared" si="37"/>
        <v>87838605.17688292</v>
      </c>
      <c r="I143" s="46">
        <f t="shared" si="38"/>
        <v>878.3860517688292</v>
      </c>
      <c r="J143" s="49">
        <f t="shared" si="39"/>
        <v>880.9249328597821</v>
      </c>
      <c r="K143" s="49">
        <f t="shared" si="40"/>
        <v>3523.6997314391283</v>
      </c>
      <c r="L143" s="48">
        <f t="shared" si="41"/>
        <v>-61092493.28597821</v>
      </c>
      <c r="M143" s="46" t="str">
        <f t="shared" si="42"/>
        <v>NOT OK</v>
      </c>
      <c r="N143" s="49">
        <f>2*PI()*Formasjon!$D$7*Formasjon!$D$16*(Iterasjon!$B$2-Iterasjon!A143)/(Formasjon!$D$19*LN(Formasjon!$B$31/Formasjon!$B$30))</f>
        <v>0.7317882876910254</v>
      </c>
      <c r="O143" s="49">
        <f t="shared" si="43"/>
        <v>92392493.28597821</v>
      </c>
      <c r="P143" s="49">
        <f t="shared" si="46"/>
        <v>923.9249328597821</v>
      </c>
      <c r="Q143" s="6">
        <f t="shared" si="44"/>
        <v>0.0007920430130897702</v>
      </c>
    </row>
    <row r="144" spans="1:17" ht="12.75">
      <c r="A144" s="45">
        <f t="shared" si="45"/>
        <v>28000000</v>
      </c>
      <c r="B144" s="46">
        <f t="shared" si="32"/>
        <v>26.276673263681445</v>
      </c>
      <c r="C144" s="46">
        <f t="shared" si="33"/>
        <v>86.58918547363595</v>
      </c>
      <c r="D144" s="46">
        <f>690*B144*$B$13/Formasjon!$B$19</f>
        <v>1374926.9285221314</v>
      </c>
      <c r="E144" s="47">
        <f t="shared" si="34"/>
        <v>0.003103461279674256</v>
      </c>
      <c r="F144" s="48">
        <f t="shared" si="35"/>
        <v>150292.22852413892</v>
      </c>
      <c r="G144" s="49">
        <f t="shared" si="36"/>
        <v>1.5029222852413893</v>
      </c>
      <c r="H144" s="46">
        <f t="shared" si="37"/>
        <v>51734040.58281532</v>
      </c>
      <c r="I144" s="46">
        <f t="shared" si="38"/>
        <v>517.3404058281532</v>
      </c>
      <c r="J144" s="49">
        <f t="shared" si="39"/>
        <v>518.8433281133946</v>
      </c>
      <c r="K144" s="49">
        <f t="shared" si="40"/>
        <v>2075.3733124535784</v>
      </c>
      <c r="L144" s="48">
        <f t="shared" si="41"/>
        <v>-23884332.811339457</v>
      </c>
      <c r="M144" s="46" t="str">
        <f t="shared" si="42"/>
        <v>NOT OK</v>
      </c>
      <c r="N144" s="49">
        <f>2*PI()*Formasjon!$D$7*Formasjon!$D$16*(Iterasjon!$B$2-Iterasjon!A144)/(Formasjon!$D$19*LN(Formasjon!$B$31/Formasjon!$B$30))</f>
        <v>0.5616049649721824</v>
      </c>
      <c r="O144" s="49">
        <f t="shared" si="43"/>
        <v>55184332.81133945</v>
      </c>
      <c r="P144" s="49">
        <f t="shared" si="46"/>
        <v>551.8433281133945</v>
      </c>
      <c r="Q144" s="6">
        <f t="shared" si="44"/>
        <v>0.0010176891453814625</v>
      </c>
    </row>
    <row r="145" spans="1:17" ht="12.75">
      <c r="A145" s="45">
        <f t="shared" si="45"/>
        <v>29000000</v>
      </c>
      <c r="B145" s="46">
        <f t="shared" si="32"/>
        <v>18.314045001959794</v>
      </c>
      <c r="C145" s="46">
        <f t="shared" si="33"/>
        <v>60.35003836041293</v>
      </c>
      <c r="D145" s="46">
        <f>690*B145*$B$13/Formasjon!$B$19</f>
        <v>958282.4047275459</v>
      </c>
      <c r="E145" s="47">
        <f t="shared" si="34"/>
        <v>0.0031320997994608926</v>
      </c>
      <c r="F145" s="48">
        <f t="shared" si="35"/>
        <v>73680.67178738178</v>
      </c>
      <c r="G145" s="49">
        <f t="shared" si="36"/>
        <v>0.7368067178738178</v>
      </c>
      <c r="H145" s="46">
        <f t="shared" si="37"/>
        <v>25130677.197712854</v>
      </c>
      <c r="I145" s="46">
        <f t="shared" si="38"/>
        <v>251.30677197712853</v>
      </c>
      <c r="J145" s="49">
        <f t="shared" si="39"/>
        <v>252.04357869500234</v>
      </c>
      <c r="K145" s="49">
        <f t="shared" si="40"/>
        <v>1008.1743147800094</v>
      </c>
      <c r="L145" s="48">
        <f t="shared" si="41"/>
        <v>3795642.1304997653</v>
      </c>
      <c r="M145" s="46" t="str">
        <f t="shared" si="42"/>
        <v>OK</v>
      </c>
      <c r="N145" s="49">
        <f>2*PI()*Formasjon!$D$7*Formasjon!$D$16*(Iterasjon!$B$2-Iterasjon!A145)/(Formasjon!$D$19*LN(Formasjon!$B$31/Formasjon!$B$30))</f>
        <v>0.3914216422533392</v>
      </c>
      <c r="O145" s="49">
        <f t="shared" si="43"/>
        <v>27504357.869500235</v>
      </c>
      <c r="P145" s="49">
        <f t="shared" si="46"/>
        <v>275.04357869500234</v>
      </c>
      <c r="Q145" s="6">
        <f t="shared" si="44"/>
        <v>0.001423125906485493</v>
      </c>
    </row>
    <row r="146" spans="1:17" ht="12.75">
      <c r="A146" s="45">
        <f t="shared" si="45"/>
        <v>30000000</v>
      </c>
      <c r="B146" s="46">
        <f t="shared" si="32"/>
        <v>10.351416740238145</v>
      </c>
      <c r="C146" s="46">
        <f t="shared" si="33"/>
        <v>34.11089124718992</v>
      </c>
      <c r="D146" s="46">
        <f>690*B146*$B$13/Formasjon!$B$19</f>
        <v>541637.8809329608</v>
      </c>
      <c r="E146" s="47">
        <f t="shared" si="34"/>
        <v>0.0032009948579878656</v>
      </c>
      <c r="F146" s="48">
        <f t="shared" si="35"/>
        <v>24056.585998238053</v>
      </c>
      <c r="G146" s="49">
        <f t="shared" si="36"/>
        <v>0.24056585998238053</v>
      </c>
      <c r="H146" s="46">
        <f t="shared" si="37"/>
        <v>8028515.021575564</v>
      </c>
      <c r="I146" s="46">
        <f t="shared" si="38"/>
        <v>80.28515021575564</v>
      </c>
      <c r="J146" s="49">
        <f t="shared" si="39"/>
        <v>80.52571607573802</v>
      </c>
      <c r="K146" s="49">
        <f t="shared" si="40"/>
        <v>322.10286430295207</v>
      </c>
      <c r="L146" s="48">
        <f t="shared" si="41"/>
        <v>21947428.3924262</v>
      </c>
      <c r="M146" s="46" t="str">
        <f t="shared" si="42"/>
        <v>OK</v>
      </c>
      <c r="N146" s="49">
        <f>2*PI()*Formasjon!$D$7*Formasjon!$D$16*(Iterasjon!$B$2-Iterasjon!A146)/(Formasjon!$D$19*LN(Formasjon!$B$31/Formasjon!$B$30))</f>
        <v>0.22123831953449608</v>
      </c>
      <c r="O146" s="49">
        <f t="shared" si="43"/>
        <v>9352571.6075738</v>
      </c>
      <c r="P146" s="49">
        <f t="shared" si="46"/>
        <v>93.525716075738</v>
      </c>
      <c r="Q146" s="6">
        <f t="shared" si="44"/>
        <v>0.0023655346231761026</v>
      </c>
    </row>
    <row r="147" spans="1:17" ht="12.75">
      <c r="A147" s="45">
        <f t="shared" si="45"/>
        <v>31000000</v>
      </c>
      <c r="B147" s="46">
        <f t="shared" si="32"/>
        <v>2.388788478516495</v>
      </c>
      <c r="C147" s="46">
        <f t="shared" si="33"/>
        <v>7.871744133966904</v>
      </c>
      <c r="D147" s="46">
        <f>690*B147*$B$13/Formasjon!$B$19</f>
        <v>124993.35713837556</v>
      </c>
      <c r="E147" s="47">
        <f t="shared" si="34"/>
        <v>0.0036131864244581943</v>
      </c>
      <c r="F147" s="48">
        <f t="shared" si="35"/>
        <v>1446.0895655401864</v>
      </c>
      <c r="G147" s="49">
        <f t="shared" si="36"/>
        <v>0.014460895655401864</v>
      </c>
      <c r="H147" s="46">
        <f t="shared" si="37"/>
        <v>427554.0544034323</v>
      </c>
      <c r="I147" s="46">
        <f t="shared" si="38"/>
        <v>4.275540544034323</v>
      </c>
      <c r="J147" s="49">
        <f t="shared" si="39"/>
        <v>4.290001439689725</v>
      </c>
      <c r="K147" s="49">
        <f t="shared" si="40"/>
        <v>17.1600057587589</v>
      </c>
      <c r="L147" s="48">
        <f t="shared" si="41"/>
        <v>30570999.856031027</v>
      </c>
      <c r="M147" s="46" t="str">
        <f t="shared" si="42"/>
        <v>OK</v>
      </c>
      <c r="N147" s="49">
        <f>2*PI()*Formasjon!$D$7*Formasjon!$D$16*(Iterasjon!$B$2-Iterasjon!A147)/(Formasjon!$D$19*LN(Formasjon!$B$31/Formasjon!$B$30))</f>
        <v>0.05105499681565294</v>
      </c>
      <c r="O147" s="49">
        <f t="shared" si="43"/>
        <v>729000.1439689733</v>
      </c>
      <c r="P147" s="49">
        <f t="shared" si="46"/>
        <v>7.290001439689733</v>
      </c>
      <c r="Q147" s="6">
        <f t="shared" si="44"/>
        <v>0.007003427535375888</v>
      </c>
    </row>
    <row r="148" spans="1:17" ht="12.75">
      <c r="A148" s="45">
        <f aca="true" t="shared" si="47" ref="A148:A153">A147+50000</f>
        <v>31050000</v>
      </c>
      <c r="B148" s="46">
        <f t="shared" si="32"/>
        <v>1.9906570654304125</v>
      </c>
      <c r="C148" s="46">
        <f t="shared" si="33"/>
        <v>6.559786778305754</v>
      </c>
      <c r="D148" s="46">
        <f>690*B148*$B$13/Formasjon!$B$19</f>
        <v>104161.13094864631</v>
      </c>
      <c r="E148" s="47">
        <f t="shared" si="34"/>
        <v>0.00369909557288523</v>
      </c>
      <c r="F148" s="48">
        <f t="shared" si="35"/>
        <v>1028.105974102469</v>
      </c>
      <c r="G148" s="49">
        <f t="shared" si="36"/>
        <v>0.01028105974102469</v>
      </c>
      <c r="H148" s="46">
        <f t="shared" si="37"/>
        <v>296912.5377801614</v>
      </c>
      <c r="I148" s="46">
        <f t="shared" si="38"/>
        <v>2.9691253778016145</v>
      </c>
      <c r="J148" s="49">
        <f t="shared" si="39"/>
        <v>2.979406437542639</v>
      </c>
      <c r="K148" s="49">
        <f t="shared" si="40"/>
        <v>11.917625750170556</v>
      </c>
      <c r="L148" s="48">
        <f t="shared" si="41"/>
        <v>30752059.356245734</v>
      </c>
      <c r="M148" s="46" t="str">
        <f t="shared" si="42"/>
        <v>OK</v>
      </c>
      <c r="N148" s="49">
        <f>2*PI()*Formasjon!$D$7*Formasjon!$D$16*(Iterasjon!$B$2-Iterasjon!A148)/(Formasjon!$D$19*LN(Formasjon!$B$31/Formasjon!$B$30))</f>
        <v>0.04254583067971079</v>
      </c>
      <c r="O148" s="49">
        <f t="shared" si="43"/>
        <v>547940.6437542662</v>
      </c>
      <c r="P148" s="49">
        <f t="shared" si="46"/>
        <v>5.479406437542662</v>
      </c>
      <c r="Q148" s="6">
        <f t="shared" si="44"/>
        <v>0.007764678741150516</v>
      </c>
    </row>
    <row r="149" spans="1:17" ht="12.75">
      <c r="A149" s="45">
        <f t="shared" si="47"/>
        <v>31100000</v>
      </c>
      <c r="B149" s="46">
        <f t="shared" si="32"/>
        <v>1.59252565234433</v>
      </c>
      <c r="C149" s="46">
        <f t="shared" si="33"/>
        <v>5.247829422644603</v>
      </c>
      <c r="D149" s="46">
        <f>690*B149*$B$13/Formasjon!$B$19</f>
        <v>83328.90475891707</v>
      </c>
      <c r="E149" s="47">
        <f t="shared" si="34"/>
        <v>0.0038175214753263303</v>
      </c>
      <c r="F149" s="48">
        <f t="shared" si="35"/>
        <v>679.0531893370783</v>
      </c>
      <c r="G149" s="49">
        <f t="shared" si="36"/>
        <v>0.0067905318933707826</v>
      </c>
      <c r="H149" s="46">
        <f t="shared" si="37"/>
        <v>190024.02417930326</v>
      </c>
      <c r="I149" s="46">
        <f t="shared" si="38"/>
        <v>1.9002402417930326</v>
      </c>
      <c r="J149" s="49">
        <f t="shared" si="39"/>
        <v>1.9070307736864034</v>
      </c>
      <c r="K149" s="49">
        <f t="shared" si="40"/>
        <v>7.628123094745614</v>
      </c>
      <c r="L149" s="48">
        <f t="shared" si="41"/>
        <v>30909296.92263136</v>
      </c>
      <c r="M149" s="46" t="str">
        <f t="shared" si="42"/>
        <v>OK</v>
      </c>
      <c r="N149" s="49">
        <f>2*PI()*Formasjon!$D$7*Formasjon!$D$16*(Iterasjon!$B$2-Iterasjon!A149)/(Formasjon!$D$19*LN(Formasjon!$B$31/Formasjon!$B$30))</f>
        <v>0.03403666454376863</v>
      </c>
      <c r="O149" s="49">
        <f t="shared" si="43"/>
        <v>390703.0773686394</v>
      </c>
      <c r="P149" s="49">
        <f t="shared" si="46"/>
        <v>3.9070307736863943</v>
      </c>
      <c r="Q149" s="6">
        <f t="shared" si="44"/>
        <v>0.008711644856499062</v>
      </c>
    </row>
    <row r="150" spans="1:17" ht="12.75">
      <c r="A150" s="45">
        <f t="shared" si="47"/>
        <v>31150000</v>
      </c>
      <c r="B150" s="46">
        <f t="shared" si="32"/>
        <v>1.1943942392582474</v>
      </c>
      <c r="C150" s="46">
        <f t="shared" si="33"/>
        <v>3.935872066983452</v>
      </c>
      <c r="D150" s="46">
        <f>690*B150*$B$13/Formasjon!$B$19</f>
        <v>62496.67856918778</v>
      </c>
      <c r="E150" s="47">
        <f t="shared" si="34"/>
        <v>0.003993471036822099</v>
      </c>
      <c r="F150" s="48">
        <f t="shared" si="35"/>
        <v>399.5722970135252</v>
      </c>
      <c r="G150" s="49">
        <f t="shared" si="36"/>
        <v>0.003995722970135252</v>
      </c>
      <c r="H150" s="46">
        <f t="shared" si="37"/>
        <v>106888.51360085807</v>
      </c>
      <c r="I150" s="46">
        <f t="shared" si="38"/>
        <v>1.0688851360085807</v>
      </c>
      <c r="J150" s="49">
        <f t="shared" si="39"/>
        <v>1.072880858978716</v>
      </c>
      <c r="K150" s="49">
        <f t="shared" si="40"/>
        <v>4.291523435914864</v>
      </c>
      <c r="L150" s="48">
        <f t="shared" si="41"/>
        <v>31042711.914102126</v>
      </c>
      <c r="M150" s="46" t="str">
        <f t="shared" si="42"/>
        <v>OK</v>
      </c>
      <c r="N150" s="49">
        <f>2*PI()*Formasjon!$D$7*Formasjon!$D$16*(Iterasjon!$B$2-Iterasjon!A150)/(Formasjon!$D$19*LN(Formasjon!$B$31/Formasjon!$B$30))</f>
        <v>0.02552749840782647</v>
      </c>
      <c r="O150" s="49">
        <f t="shared" si="43"/>
        <v>257288.0858978741</v>
      </c>
      <c r="P150" s="49">
        <f t="shared" si="46"/>
        <v>2.572880858978741</v>
      </c>
      <c r="Q150" s="6">
        <f t="shared" si="44"/>
        <v>0.009921756897036869</v>
      </c>
    </row>
    <row r="151" spans="1:17" ht="12.75">
      <c r="A151" s="45">
        <f t="shared" si="47"/>
        <v>31200000</v>
      </c>
      <c r="B151" s="46">
        <f t="shared" si="32"/>
        <v>0.796262826172165</v>
      </c>
      <c r="C151" s="46">
        <f t="shared" si="33"/>
        <v>2.6239147113223016</v>
      </c>
      <c r="D151" s="46">
        <f>690*B151*$B$13/Formasjon!$B$19</f>
        <v>41664.45237945853</v>
      </c>
      <c r="E151" s="47">
        <f t="shared" si="34"/>
        <v>0.004290459855041589</v>
      </c>
      <c r="F151" s="48">
        <f t="shared" si="35"/>
        <v>190.79463384286794</v>
      </c>
      <c r="G151" s="49">
        <f t="shared" si="36"/>
        <v>0.0019079463384286794</v>
      </c>
      <c r="H151" s="46">
        <f t="shared" si="37"/>
        <v>47506.006044825815</v>
      </c>
      <c r="I151" s="46">
        <f t="shared" si="38"/>
        <v>0.47506006044825816</v>
      </c>
      <c r="J151" s="49">
        <f t="shared" si="39"/>
        <v>0.4769680067866868</v>
      </c>
      <c r="K151" s="49">
        <f t="shared" si="40"/>
        <v>1.9078720271467473</v>
      </c>
      <c r="L151" s="48">
        <f t="shared" si="41"/>
        <v>31152303.19932133</v>
      </c>
      <c r="M151" s="46" t="str">
        <f t="shared" si="42"/>
        <v>OK</v>
      </c>
      <c r="N151" s="49">
        <f>2*PI()*Formasjon!$D$7*Formasjon!$D$16*(Iterasjon!$B$2-Iterasjon!A151)/(Formasjon!$D$19*LN(Formasjon!$B$31/Formasjon!$B$30))</f>
        <v>0.017018332271884314</v>
      </c>
      <c r="O151" s="49">
        <f t="shared" si="43"/>
        <v>147696.8006786704</v>
      </c>
      <c r="P151" s="49">
        <f t="shared" si="46"/>
        <v>1.4769680067867041</v>
      </c>
      <c r="Q151" s="6">
        <f t="shared" si="44"/>
        <v>0.011522478614082812</v>
      </c>
    </row>
    <row r="152" spans="1:17" ht="12.75">
      <c r="A152" s="45">
        <f t="shared" si="47"/>
        <v>31250000</v>
      </c>
      <c r="B152" s="46">
        <f t="shared" si="32"/>
        <v>0.3981314130860825</v>
      </c>
      <c r="C152" s="46">
        <f t="shared" si="33"/>
        <v>1.3119573556611508</v>
      </c>
      <c r="D152" s="46">
        <f>690*B152*$B$13/Formasjon!$B$19</f>
        <v>20832.226189729266</v>
      </c>
      <c r="E152" s="47">
        <f t="shared" si="34"/>
        <v>0.004952543111898079</v>
      </c>
      <c r="F152" s="48">
        <f t="shared" si="35"/>
        <v>55.05928743950761</v>
      </c>
      <c r="G152" s="49">
        <f t="shared" si="36"/>
        <v>0.000550592874395076</v>
      </c>
      <c r="H152" s="46">
        <f t="shared" si="37"/>
        <v>11876.501511206454</v>
      </c>
      <c r="I152" s="46">
        <f t="shared" si="38"/>
        <v>0.11876501511206454</v>
      </c>
      <c r="J152" s="49">
        <f t="shared" si="39"/>
        <v>0.11931560798645961</v>
      </c>
      <c r="K152" s="49">
        <f t="shared" si="40"/>
        <v>0.47726243194583845</v>
      </c>
      <c r="L152" s="48">
        <f t="shared" si="41"/>
        <v>31238068.439201355</v>
      </c>
      <c r="M152" s="46" t="str">
        <f t="shared" si="42"/>
        <v>OK</v>
      </c>
      <c r="N152" s="49">
        <f>2*PI()*Formasjon!$D$7*Formasjon!$D$16*(Iterasjon!$B$2-Iterasjon!A152)/(Formasjon!$D$19*LN(Formasjon!$B$31/Formasjon!$B$30))</f>
        <v>0.008509166135942157</v>
      </c>
      <c r="O152" s="49">
        <f t="shared" si="43"/>
        <v>61931.56079864502</v>
      </c>
      <c r="P152" s="49">
        <f t="shared" si="46"/>
        <v>0.6193156079864502</v>
      </c>
      <c r="Q152" s="6">
        <f t="shared" si="44"/>
        <v>0.013739628109176163</v>
      </c>
    </row>
    <row r="153" spans="1:17" ht="13.5" thickBot="1">
      <c r="A153" s="51">
        <f t="shared" si="47"/>
        <v>31300000</v>
      </c>
      <c r="B153" s="36">
        <f t="shared" si="32"/>
        <v>0</v>
      </c>
      <c r="C153" s="36">
        <f t="shared" si="33"/>
        <v>0</v>
      </c>
      <c r="D153" s="36">
        <f>690*B153*$B$13/Formasjon!$B$19</f>
        <v>0</v>
      </c>
      <c r="E153" s="79">
        <v>0</v>
      </c>
      <c r="F153" s="50">
        <f t="shared" si="35"/>
        <v>0</v>
      </c>
      <c r="G153" s="53">
        <f t="shared" si="36"/>
        <v>0</v>
      </c>
      <c r="H153" s="36">
        <f t="shared" si="37"/>
        <v>0</v>
      </c>
      <c r="I153" s="36">
        <f t="shared" si="38"/>
        <v>0</v>
      </c>
      <c r="J153" s="53">
        <f t="shared" si="39"/>
        <v>0</v>
      </c>
      <c r="K153" s="53">
        <f t="shared" si="40"/>
        <v>0</v>
      </c>
      <c r="L153" s="50">
        <f t="shared" si="41"/>
        <v>31300000</v>
      </c>
      <c r="M153" s="36" t="str">
        <f t="shared" si="42"/>
        <v>OK</v>
      </c>
      <c r="N153" s="53">
        <f>2*PI()*Formasjon!$D$7*Formasjon!$D$16*(Iterasjon!$B$2-Iterasjon!A153)/(Formasjon!$D$19*LN(Formasjon!$B$31/Formasjon!$B$30))</f>
        <v>0</v>
      </c>
      <c r="O153" s="53">
        <f t="shared" si="43"/>
        <v>0</v>
      </c>
      <c r="P153" s="53">
        <f t="shared" si="46"/>
        <v>0</v>
      </c>
      <c r="Q153" s="9">
        <v>0</v>
      </c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spans="1:5" ht="26.25">
      <c r="A158" s="30" t="s">
        <v>104</v>
      </c>
      <c r="B158" s="23"/>
      <c r="E158" s="30"/>
    </row>
    <row r="159" ht="13.5" thickBot="1">
      <c r="B159" s="23"/>
    </row>
    <row r="160" spans="1:14" ht="12.75">
      <c r="A160" s="41" t="s">
        <v>77</v>
      </c>
      <c r="B160" s="29" t="s">
        <v>85</v>
      </c>
      <c r="C160" s="29" t="s">
        <v>102</v>
      </c>
      <c r="D160" s="29" t="s">
        <v>94</v>
      </c>
      <c r="E160" s="29" t="s">
        <v>58</v>
      </c>
      <c r="F160" s="29" t="s">
        <v>26</v>
      </c>
      <c r="G160" s="41"/>
      <c r="H160" s="29" t="s">
        <v>97</v>
      </c>
      <c r="I160" s="42"/>
      <c r="J160" s="68"/>
      <c r="K160" s="57"/>
      <c r="L160" s="57"/>
      <c r="M160" s="57" t="s">
        <v>50</v>
      </c>
      <c r="N160" s="4" t="s">
        <v>106</v>
      </c>
    </row>
    <row r="161" spans="1:14" ht="13.5" thickBot="1">
      <c r="A161" s="43"/>
      <c r="B161" s="13"/>
      <c r="C161" s="13" t="s">
        <v>80</v>
      </c>
      <c r="D161" s="13" t="s">
        <v>80</v>
      </c>
      <c r="E161" s="13" t="s">
        <v>87</v>
      </c>
      <c r="F161" s="13" t="s">
        <v>71</v>
      </c>
      <c r="G161" s="38" t="s">
        <v>91</v>
      </c>
      <c r="H161" s="35" t="s">
        <v>92</v>
      </c>
      <c r="I161" s="39" t="s">
        <v>93</v>
      </c>
      <c r="J161" s="69" t="s">
        <v>57</v>
      </c>
      <c r="K161" s="35" t="s">
        <v>99</v>
      </c>
      <c r="L161" s="37" t="s">
        <v>105</v>
      </c>
      <c r="M161" s="67" t="s">
        <v>90</v>
      </c>
      <c r="N161" s="54" t="s">
        <v>87</v>
      </c>
    </row>
    <row r="162" spans="1:14" ht="12.75">
      <c r="A162" s="58">
        <f>690*(F162/(PI()/4*0.17^2))*0.17/0.00048</f>
        <v>181759763.1845967</v>
      </c>
      <c r="B162" s="47">
        <f>IF(A162&gt;2300,fturb(A162),flam(A162))</f>
        <v>0.003034389372382925</v>
      </c>
      <c r="C162" s="49">
        <f>(B162*10000/0.17*(F162/(PI()/4*0.17^2))^2*690/2)/10^5</f>
        <v>340661.7940313662</v>
      </c>
      <c r="D162" s="49">
        <f>($B$10)/10^5+C162</f>
        <v>340884.2476313662</v>
      </c>
      <c r="E162" s="46">
        <f aca="true" t="shared" si="48" ref="E162:E199">A116/10^5</f>
        <v>0</v>
      </c>
      <c r="F162" s="49">
        <f aca="true" t="shared" si="49" ref="F162:F199">N24+N72+N116</f>
        <v>16.882186651412425</v>
      </c>
      <c r="G162" s="62">
        <f aca="true" t="shared" si="50" ref="G162:G199">P24</f>
        <v>3764.3676260417787</v>
      </c>
      <c r="H162" s="63">
        <f aca="true" t="shared" si="51" ref="H162:H199">P72</f>
        <v>67362.3148409658</v>
      </c>
      <c r="I162" s="64">
        <f aca="true" t="shared" si="52" ref="I162:I199">P116</f>
        <v>46986.663881797875</v>
      </c>
      <c r="J162" s="59">
        <f aca="true" t="shared" si="53" ref="J162:J199">MIN(G162:I162)</f>
        <v>3764.3676260417787</v>
      </c>
      <c r="K162" s="46" t="str">
        <f aca="true" t="shared" si="54" ref="K162:K199">IF(J162=I162,"SONE 3",IF(J162=H162,"SONE 2","SONE 3"))</f>
        <v>SONE 3</v>
      </c>
      <c r="L162" s="46" t="str">
        <f aca="true" t="shared" si="55" ref="L162:L199">IF((313-J162)&gt;=D162,"OK","NOT OK")</f>
        <v>NOT OK</v>
      </c>
      <c r="M162" s="46">
        <f aca="true" t="shared" si="56" ref="M162:M198">F162/J162</f>
        <v>0.004484733779618649</v>
      </c>
      <c r="N162" s="55">
        <f aca="true" t="shared" si="57" ref="N162:N199">$B$2/10^5-MIN(G162:I162)</f>
        <v>-3451.3676260417787</v>
      </c>
    </row>
    <row r="163" spans="1:14" ht="12.75">
      <c r="A163" s="58">
        <f aca="true" t="shared" si="58" ref="A163:A199">690*(F163/(PI()/4*0.17^2))*0.17/0.00048</f>
        <v>175952741.99659044</v>
      </c>
      <c r="B163" s="47">
        <f aca="true" t="shared" si="59" ref="B163:B198">IF(A163&gt;2300,fturb(A163),flam(A163))</f>
        <v>0.00303440745803537</v>
      </c>
      <c r="C163" s="49">
        <f aca="true" t="shared" si="60" ref="C163:C199">(B163*10000/0.17*(F163/(PI()/4*0.17^2))^2*690/2)/10^5</f>
        <v>319243.8940811395</v>
      </c>
      <c r="D163" s="49">
        <f aca="true" t="shared" si="61" ref="D163:D199">($B$10)/10^5+C163</f>
        <v>319466.3476811395</v>
      </c>
      <c r="E163" s="46">
        <f t="shared" si="48"/>
        <v>10</v>
      </c>
      <c r="F163" s="49">
        <f t="shared" si="49"/>
        <v>16.342819665744297</v>
      </c>
      <c r="G163" s="59">
        <f t="shared" si="50"/>
        <v>3537.3585821393276</v>
      </c>
      <c r="H163" s="49">
        <f t="shared" si="51"/>
        <v>63136.46450909608</v>
      </c>
      <c r="I163" s="65">
        <f t="shared" si="52"/>
        <v>44041.97260516228</v>
      </c>
      <c r="J163" s="59">
        <f t="shared" si="53"/>
        <v>3537.3585821393276</v>
      </c>
      <c r="K163" s="46" t="str">
        <f t="shared" si="54"/>
        <v>SONE 3</v>
      </c>
      <c r="L163" s="46" t="str">
        <f t="shared" si="55"/>
        <v>NOT OK</v>
      </c>
      <c r="M163" s="46">
        <f t="shared" si="56"/>
        <v>0.004620063045986271</v>
      </c>
      <c r="N163" s="55">
        <f t="shared" si="57"/>
        <v>-3224.3585821393276</v>
      </c>
    </row>
    <row r="164" spans="1:14" ht="12.75">
      <c r="A164" s="58">
        <f t="shared" si="58"/>
        <v>170145720.80858415</v>
      </c>
      <c r="B164" s="47">
        <f t="shared" si="59"/>
        <v>0.0030344267777814814</v>
      </c>
      <c r="C164" s="49">
        <f t="shared" si="60"/>
        <v>298521.3166348003</v>
      </c>
      <c r="D164" s="49">
        <f t="shared" si="61"/>
        <v>298743.7702348003</v>
      </c>
      <c r="E164" s="46">
        <f t="shared" si="48"/>
        <v>20</v>
      </c>
      <c r="F164" s="49">
        <f t="shared" si="49"/>
        <v>15.80345268007617</v>
      </c>
      <c r="G164" s="59">
        <f t="shared" si="50"/>
        <v>3317.3951926184636</v>
      </c>
      <c r="H164" s="49">
        <f t="shared" si="51"/>
        <v>59047.492042007834</v>
      </c>
      <c r="I164" s="65">
        <f t="shared" si="52"/>
        <v>41192.563167484004</v>
      </c>
      <c r="J164" s="59">
        <f t="shared" si="53"/>
        <v>3317.3951926184636</v>
      </c>
      <c r="K164" s="46" t="str">
        <f t="shared" si="54"/>
        <v>SONE 3</v>
      </c>
      <c r="L164" s="46" t="str">
        <f t="shared" si="55"/>
        <v>NOT OK</v>
      </c>
      <c r="M164" s="46">
        <f t="shared" si="56"/>
        <v>0.004763813703968835</v>
      </c>
      <c r="N164" s="55">
        <f t="shared" si="57"/>
        <v>-3004.3951926184636</v>
      </c>
    </row>
    <row r="165" spans="1:14" ht="12.75">
      <c r="A165" s="58">
        <f t="shared" si="58"/>
        <v>164338699.62057784</v>
      </c>
      <c r="B165" s="47">
        <f t="shared" si="59"/>
        <v>0.003034447462397636</v>
      </c>
      <c r="C165" s="49">
        <f t="shared" si="60"/>
        <v>278494.0616923505</v>
      </c>
      <c r="D165" s="49">
        <f t="shared" si="61"/>
        <v>278716.5152923505</v>
      </c>
      <c r="E165" s="46">
        <f t="shared" si="48"/>
        <v>30</v>
      </c>
      <c r="F165" s="49">
        <f t="shared" si="49"/>
        <v>15.264085694408038</v>
      </c>
      <c r="G165" s="59">
        <f t="shared" si="50"/>
        <v>3104.477457487639</v>
      </c>
      <c r="H165" s="49">
        <f t="shared" si="51"/>
        <v>55095.397439703294</v>
      </c>
      <c r="I165" s="65">
        <f t="shared" si="52"/>
        <v>38438.43556876556</v>
      </c>
      <c r="J165" s="59">
        <f t="shared" si="53"/>
        <v>3104.477457487639</v>
      </c>
      <c r="K165" s="46" t="str">
        <f t="shared" si="54"/>
        <v>SONE 3</v>
      </c>
      <c r="L165" s="46" t="str">
        <f t="shared" si="55"/>
        <v>NOT OK</v>
      </c>
      <c r="M165" s="46">
        <f t="shared" si="56"/>
        <v>0.004916797078874847</v>
      </c>
      <c r="N165" s="55">
        <f t="shared" si="57"/>
        <v>-2791.477457487639</v>
      </c>
    </row>
    <row r="166" spans="1:14" ht="12.75">
      <c r="A166" s="58">
        <f t="shared" si="58"/>
        <v>158531678.4325716</v>
      </c>
      <c r="B166" s="47">
        <f t="shared" si="59"/>
        <v>0.0030344696618145595</v>
      </c>
      <c r="C166" s="49">
        <f t="shared" si="60"/>
        <v>259162.12925379357</v>
      </c>
      <c r="D166" s="49">
        <f t="shared" si="61"/>
        <v>259384.58285379357</v>
      </c>
      <c r="E166" s="46">
        <f t="shared" si="48"/>
        <v>40</v>
      </c>
      <c r="F166" s="49">
        <f t="shared" si="49"/>
        <v>14.724718708739912</v>
      </c>
      <c r="G166" s="59">
        <f t="shared" si="50"/>
        <v>2898.6053767564927</v>
      </c>
      <c r="H166" s="49">
        <f t="shared" si="51"/>
        <v>51280.18070218502</v>
      </c>
      <c r="I166" s="65">
        <f t="shared" si="52"/>
        <v>35779.58980900988</v>
      </c>
      <c r="J166" s="59">
        <f t="shared" si="53"/>
        <v>2898.6053767564927</v>
      </c>
      <c r="K166" s="46" t="str">
        <f t="shared" si="54"/>
        <v>SONE 3</v>
      </c>
      <c r="L166" s="46" t="str">
        <f t="shared" si="55"/>
        <v>NOT OK</v>
      </c>
      <c r="M166" s="46">
        <f t="shared" si="56"/>
        <v>0.005079932172490727</v>
      </c>
      <c r="N166" s="55">
        <f t="shared" si="57"/>
        <v>-2585.6053767564927</v>
      </c>
    </row>
    <row r="167" spans="1:14" ht="12.75">
      <c r="A167" s="58">
        <f t="shared" si="58"/>
        <v>152724657.2445653</v>
      </c>
      <c r="B167" s="47">
        <f t="shared" si="59"/>
        <v>0.0030344935487574584</v>
      </c>
      <c r="C167" s="49">
        <f t="shared" si="60"/>
        <v>240525.51931913252</v>
      </c>
      <c r="D167" s="49">
        <f t="shared" si="61"/>
        <v>240747.97291913253</v>
      </c>
      <c r="E167" s="46">
        <f t="shared" si="48"/>
        <v>50</v>
      </c>
      <c r="F167" s="49">
        <f t="shared" si="49"/>
        <v>14.185351723071783</v>
      </c>
      <c r="G167" s="59">
        <f t="shared" si="50"/>
        <v>2699.778950436081</v>
      </c>
      <c r="H167" s="49">
        <f t="shared" si="51"/>
        <v>47601.841829455945</v>
      </c>
      <c r="I167" s="65">
        <f t="shared" si="52"/>
        <v>33216.02588822024</v>
      </c>
      <c r="J167" s="59">
        <f t="shared" si="53"/>
        <v>2699.778950436081</v>
      </c>
      <c r="K167" s="46" t="str">
        <f t="shared" si="54"/>
        <v>SONE 3</v>
      </c>
      <c r="L167" s="46" t="str">
        <f t="shared" si="55"/>
        <v>NOT OK</v>
      </c>
      <c r="M167" s="46">
        <f t="shared" si="56"/>
        <v>0.005254264139210545</v>
      </c>
      <c r="N167" s="55">
        <f t="shared" si="57"/>
        <v>-2386.778950436081</v>
      </c>
    </row>
    <row r="168" spans="1:14" ht="12.75">
      <c r="A168" s="58">
        <f t="shared" si="58"/>
        <v>146917636.05655903</v>
      </c>
      <c r="B168" s="47">
        <f t="shared" si="59"/>
        <v>0.0030345193232490645</v>
      </c>
      <c r="C168" s="49">
        <f t="shared" si="60"/>
        <v>222584.23188837117</v>
      </c>
      <c r="D168" s="49">
        <f t="shared" si="61"/>
        <v>222806.68548837118</v>
      </c>
      <c r="E168" s="46">
        <f t="shared" si="48"/>
        <v>60</v>
      </c>
      <c r="F168" s="49">
        <f t="shared" si="49"/>
        <v>13.645984737403655</v>
      </c>
      <c r="G168" s="59">
        <f t="shared" si="50"/>
        <v>2507.9981785391396</v>
      </c>
      <c r="H168" s="49">
        <f t="shared" si="51"/>
        <v>44060.38082151951</v>
      </c>
      <c r="I168" s="65">
        <f t="shared" si="52"/>
        <v>30747.74380640053</v>
      </c>
      <c r="J168" s="59">
        <f t="shared" si="53"/>
        <v>2507.9981785391396</v>
      </c>
      <c r="K168" s="46" t="str">
        <f t="shared" si="54"/>
        <v>SONE 3</v>
      </c>
      <c r="L168" s="46" t="str">
        <f t="shared" si="55"/>
        <v>NOT OK</v>
      </c>
      <c r="M168" s="46">
        <f t="shared" si="56"/>
        <v>0.005440986701733642</v>
      </c>
      <c r="N168" s="55">
        <f t="shared" si="57"/>
        <v>-2194.9981785391396</v>
      </c>
    </row>
    <row r="169" spans="1:14" ht="12.75">
      <c r="A169" s="58">
        <f t="shared" si="58"/>
        <v>141110614.8685527</v>
      </c>
      <c r="B169" s="47">
        <f t="shared" si="59"/>
        <v>0.003034547218224109</v>
      </c>
      <c r="C169" s="49">
        <f t="shared" si="60"/>
        <v>205338.26696151393</v>
      </c>
      <c r="D169" s="49">
        <f t="shared" si="61"/>
        <v>205560.72056151394</v>
      </c>
      <c r="E169" s="46">
        <f t="shared" si="48"/>
        <v>70</v>
      </c>
      <c r="F169" s="49">
        <f t="shared" si="49"/>
        <v>13.106617751735527</v>
      </c>
      <c r="G169" s="59">
        <f t="shared" si="50"/>
        <v>2323.2630610804213</v>
      </c>
      <c r="H169" s="49">
        <f t="shared" si="51"/>
        <v>40655.797678379604</v>
      </c>
      <c r="I169" s="65">
        <f t="shared" si="52"/>
        <v>28374.743563555203</v>
      </c>
      <c r="J169" s="59">
        <f t="shared" si="53"/>
        <v>2323.2630610804213</v>
      </c>
      <c r="K169" s="46" t="str">
        <f t="shared" si="54"/>
        <v>SONE 3</v>
      </c>
      <c r="L169" s="46" t="str">
        <f t="shared" si="55"/>
        <v>NOT OK</v>
      </c>
      <c r="M169" s="46">
        <f t="shared" si="56"/>
        <v>0.0056414695224570755</v>
      </c>
      <c r="N169" s="55">
        <f t="shared" si="57"/>
        <v>-2010.2630610804213</v>
      </c>
    </row>
    <row r="170" spans="1:14" ht="12.75">
      <c r="A170" s="58">
        <f t="shared" si="58"/>
        <v>135303593.68054643</v>
      </c>
      <c r="B170" s="47">
        <f t="shared" si="59"/>
        <v>0.003034577506588946</v>
      </c>
      <c r="C170" s="49">
        <f t="shared" si="60"/>
        <v>188787.624538566</v>
      </c>
      <c r="D170" s="49">
        <f t="shared" si="61"/>
        <v>189010.078138566</v>
      </c>
      <c r="E170" s="46">
        <f t="shared" si="48"/>
        <v>80</v>
      </c>
      <c r="F170" s="49">
        <f t="shared" si="49"/>
        <v>12.567250766067396</v>
      </c>
      <c r="G170" s="59">
        <f t="shared" si="50"/>
        <v>2145.5735980771055</v>
      </c>
      <c r="H170" s="49">
        <f t="shared" si="51"/>
        <v>37388.092400040914</v>
      </c>
      <c r="I170" s="65">
        <f t="shared" si="52"/>
        <v>26097.025159689503</v>
      </c>
      <c r="J170" s="59">
        <f t="shared" si="53"/>
        <v>2145.5735980771055</v>
      </c>
      <c r="K170" s="46" t="str">
        <f t="shared" si="54"/>
        <v>SONE 3</v>
      </c>
      <c r="L170" s="46" t="str">
        <f t="shared" si="55"/>
        <v>NOT OK</v>
      </c>
      <c r="M170" s="46">
        <f t="shared" si="56"/>
        <v>0.005857291857678688</v>
      </c>
      <c r="N170" s="55">
        <f t="shared" si="57"/>
        <v>-1832.5735980771055</v>
      </c>
    </row>
    <row r="171" spans="1:14" ht="12.75">
      <c r="A171" s="58">
        <f t="shared" si="58"/>
        <v>129496572.49254012</v>
      </c>
      <c r="B171" s="47">
        <f t="shared" si="59"/>
        <v>0.0030346105101797818</v>
      </c>
      <c r="C171" s="49">
        <f t="shared" si="60"/>
        <v>172932.30461953348</v>
      </c>
      <c r="D171" s="49">
        <f t="shared" si="61"/>
        <v>173154.75821953348</v>
      </c>
      <c r="E171" s="46">
        <f t="shared" si="48"/>
        <v>90</v>
      </c>
      <c r="F171" s="49">
        <f t="shared" si="49"/>
        <v>12.027883780399268</v>
      </c>
      <c r="G171" s="59">
        <f t="shared" si="50"/>
        <v>1974.929789549326</v>
      </c>
      <c r="H171" s="49">
        <f t="shared" si="51"/>
        <v>34257.26498650887</v>
      </c>
      <c r="I171" s="65">
        <f t="shared" si="52"/>
        <v>23914.588594809604</v>
      </c>
      <c r="J171" s="59">
        <f t="shared" si="53"/>
        <v>1974.929789549326</v>
      </c>
      <c r="K171" s="46" t="str">
        <f t="shared" si="54"/>
        <v>SONE 3</v>
      </c>
      <c r="L171" s="46" t="str">
        <f t="shared" si="55"/>
        <v>NOT OK</v>
      </c>
      <c r="M171" s="46">
        <f t="shared" si="56"/>
        <v>0.0060902842440510255</v>
      </c>
      <c r="N171" s="55">
        <f t="shared" si="57"/>
        <v>-1661.929789549326</v>
      </c>
    </row>
    <row r="172" spans="1:14" ht="12.75">
      <c r="A172" s="58">
        <f t="shared" si="58"/>
        <v>123689551.30453387</v>
      </c>
      <c r="B172" s="47">
        <f t="shared" si="59"/>
        <v>0.003034646611243162</v>
      </c>
      <c r="C172" s="49">
        <f t="shared" si="60"/>
        <v>157772.30720442385</v>
      </c>
      <c r="D172" s="49">
        <f t="shared" si="61"/>
        <v>157994.76080442386</v>
      </c>
      <c r="E172" s="46">
        <f t="shared" si="48"/>
        <v>100</v>
      </c>
      <c r="F172" s="49">
        <f t="shared" si="49"/>
        <v>11.48851679473114</v>
      </c>
      <c r="G172" s="59">
        <f t="shared" si="50"/>
        <v>1811.331635520825</v>
      </c>
      <c r="H172" s="49">
        <f t="shared" si="51"/>
        <v>31263.31543778994</v>
      </c>
      <c r="I172" s="65">
        <f t="shared" si="52"/>
        <v>21827.43386892281</v>
      </c>
      <c r="J172" s="59">
        <f t="shared" si="53"/>
        <v>1811.331635520825</v>
      </c>
      <c r="K172" s="46" t="str">
        <f t="shared" si="54"/>
        <v>SONE 3</v>
      </c>
      <c r="L172" s="46" t="str">
        <f t="shared" si="55"/>
        <v>NOT OK</v>
      </c>
      <c r="M172" s="46">
        <f t="shared" si="56"/>
        <v>0.006342580546509234</v>
      </c>
      <c r="N172" s="55">
        <f t="shared" si="57"/>
        <v>-1498.331635520825</v>
      </c>
    </row>
    <row r="173" spans="1:14" ht="12.75">
      <c r="A173" s="58">
        <f t="shared" si="58"/>
        <v>117882530.1165276</v>
      </c>
      <c r="B173" s="47">
        <f t="shared" si="59"/>
        <v>0.003034686267308035</v>
      </c>
      <c r="C173" s="49">
        <f t="shared" si="60"/>
        <v>143307.63229324567</v>
      </c>
      <c r="D173" s="49">
        <f t="shared" si="61"/>
        <v>143530.08589324568</v>
      </c>
      <c r="E173" s="46">
        <f t="shared" si="48"/>
        <v>110</v>
      </c>
      <c r="F173" s="49">
        <f t="shared" si="49"/>
        <v>10.949149809063012</v>
      </c>
      <c r="G173" s="59">
        <f t="shared" si="50"/>
        <v>1654.7791360198107</v>
      </c>
      <c r="H173" s="49">
        <f t="shared" si="51"/>
        <v>28406.24375389184</v>
      </c>
      <c r="I173" s="65">
        <f t="shared" si="52"/>
        <v>19835.560982037852</v>
      </c>
      <c r="J173" s="59">
        <f t="shared" si="53"/>
        <v>1654.7791360198107</v>
      </c>
      <c r="K173" s="46" t="str">
        <f t="shared" si="54"/>
        <v>SONE 3</v>
      </c>
      <c r="L173" s="46" t="str">
        <f t="shared" si="55"/>
        <v>NOT OK</v>
      </c>
      <c r="M173" s="46">
        <f t="shared" si="56"/>
        <v>0.006616683502185473</v>
      </c>
      <c r="N173" s="55">
        <f t="shared" si="57"/>
        <v>-1341.7791360198107</v>
      </c>
    </row>
    <row r="174" spans="1:14" ht="12.75">
      <c r="A174" s="58">
        <f t="shared" si="58"/>
        <v>112075508.92852129</v>
      </c>
      <c r="B174" s="47">
        <f t="shared" si="59"/>
        <v>0.0030347300306788607</v>
      </c>
      <c r="C174" s="49">
        <f t="shared" si="60"/>
        <v>129538.27988600923</v>
      </c>
      <c r="D174" s="49">
        <f t="shared" si="61"/>
        <v>129760.73348600922</v>
      </c>
      <c r="E174" s="46">
        <f t="shared" si="48"/>
        <v>120</v>
      </c>
      <c r="F174" s="49">
        <f t="shared" si="49"/>
        <v>10.409782823394881</v>
      </c>
      <c r="G174" s="59">
        <f t="shared" si="50"/>
        <v>1505.272291080052</v>
      </c>
      <c r="H174" s="49">
        <f t="shared" si="51"/>
        <v>25686.049934823874</v>
      </c>
      <c r="I174" s="65">
        <f t="shared" si="52"/>
        <v>17938.96993416523</v>
      </c>
      <c r="J174" s="59">
        <f t="shared" si="53"/>
        <v>1505.272291080052</v>
      </c>
      <c r="K174" s="46" t="str">
        <f t="shared" si="54"/>
        <v>SONE 3</v>
      </c>
      <c r="L174" s="46" t="str">
        <f t="shared" si="55"/>
        <v>NOT OK</v>
      </c>
      <c r="M174" s="46">
        <f t="shared" si="56"/>
        <v>0.006915548027477294</v>
      </c>
      <c r="N174" s="55">
        <f t="shared" si="57"/>
        <v>-1192.272291080052</v>
      </c>
    </row>
    <row r="175" spans="1:14" ht="12.75">
      <c r="A175" s="58">
        <f t="shared" si="58"/>
        <v>106268487.740515</v>
      </c>
      <c r="B175" s="47">
        <f t="shared" si="59"/>
        <v>0.0030347785743164153</v>
      </c>
      <c r="C175" s="49">
        <f t="shared" si="60"/>
        <v>116464.24998272768</v>
      </c>
      <c r="D175" s="49">
        <f t="shared" si="61"/>
        <v>116686.70358272767</v>
      </c>
      <c r="E175" s="46">
        <f t="shared" si="48"/>
        <v>130</v>
      </c>
      <c r="F175" s="49">
        <f t="shared" si="49"/>
        <v>9.870415837726753</v>
      </c>
      <c r="G175" s="59">
        <f t="shared" si="50"/>
        <v>1362.8111007423201</v>
      </c>
      <c r="H175" s="49">
        <f t="shared" si="51"/>
        <v>23102.733980597357</v>
      </c>
      <c r="I175" s="65">
        <f t="shared" si="52"/>
        <v>16137.660725317748</v>
      </c>
      <c r="J175" s="59">
        <f t="shared" si="53"/>
        <v>1362.8111007423201</v>
      </c>
      <c r="K175" s="46" t="str">
        <f t="shared" si="54"/>
        <v>SONE 3</v>
      </c>
      <c r="L175" s="46" t="str">
        <f t="shared" si="55"/>
        <v>NOT OK</v>
      </c>
      <c r="M175" s="46">
        <f t="shared" si="56"/>
        <v>0.007242688170319687</v>
      </c>
      <c r="N175" s="55">
        <f t="shared" si="57"/>
        <v>-1049.8111007423201</v>
      </c>
    </row>
    <row r="176" spans="1:14" ht="12.75">
      <c r="A176" s="58">
        <f t="shared" si="58"/>
        <v>100461466.55250873</v>
      </c>
      <c r="B176" s="47">
        <f t="shared" si="59"/>
        <v>0.0030348327266894056</v>
      </c>
      <c r="C176" s="49">
        <f t="shared" si="60"/>
        <v>104085.54258341667</v>
      </c>
      <c r="D176" s="49">
        <f t="shared" si="61"/>
        <v>104307.99618341666</v>
      </c>
      <c r="E176" s="46">
        <f t="shared" si="48"/>
        <v>140</v>
      </c>
      <c r="F176" s="49">
        <f t="shared" si="49"/>
        <v>9.331048852058625</v>
      </c>
      <c r="G176" s="59">
        <f t="shared" si="50"/>
        <v>1227.3955650563096</v>
      </c>
      <c r="H176" s="49">
        <f t="shared" si="51"/>
        <v>20656.295891226186</v>
      </c>
      <c r="I176" s="65">
        <f t="shared" si="52"/>
        <v>14431.633355511074</v>
      </c>
      <c r="J176" s="59">
        <f t="shared" si="53"/>
        <v>1227.3955650563096</v>
      </c>
      <c r="K176" s="46" t="str">
        <f t="shared" si="54"/>
        <v>SONE 3</v>
      </c>
      <c r="L176" s="46" t="str">
        <f t="shared" si="55"/>
        <v>NOT OK</v>
      </c>
      <c r="M176" s="46">
        <f t="shared" si="56"/>
        <v>0.0076023159262682705</v>
      </c>
      <c r="N176" s="55">
        <f t="shared" si="57"/>
        <v>-914.3955650563096</v>
      </c>
    </row>
    <row r="177" spans="1:14" ht="12.75">
      <c r="A177" s="58">
        <f t="shared" si="58"/>
        <v>94654445.36450244</v>
      </c>
      <c r="B177" s="47">
        <f t="shared" si="59"/>
        <v>0.0030348935194470373</v>
      </c>
      <c r="C177" s="49">
        <f t="shared" si="60"/>
        <v>92402.1576880957</v>
      </c>
      <c r="D177" s="49">
        <f t="shared" si="61"/>
        <v>92624.6112880957</v>
      </c>
      <c r="E177" s="46">
        <f t="shared" si="48"/>
        <v>150</v>
      </c>
      <c r="F177" s="49">
        <f t="shared" si="49"/>
        <v>8.791681866390498</v>
      </c>
      <c r="G177" s="59">
        <f t="shared" si="50"/>
        <v>1099.0256840832121</v>
      </c>
      <c r="H177" s="49">
        <f t="shared" si="51"/>
        <v>18346.73566672759</v>
      </c>
      <c r="I177" s="65">
        <f t="shared" si="52"/>
        <v>12820.887824764686</v>
      </c>
      <c r="J177" s="59">
        <f t="shared" si="53"/>
        <v>1099.0256840832121</v>
      </c>
      <c r="K177" s="46" t="str">
        <f t="shared" si="54"/>
        <v>SONE 3</v>
      </c>
      <c r="L177" s="46" t="str">
        <f t="shared" si="55"/>
        <v>NOT OK</v>
      </c>
      <c r="M177" s="46">
        <f t="shared" si="56"/>
        <v>0.007999523572303375</v>
      </c>
      <c r="N177" s="55">
        <f t="shared" si="57"/>
        <v>-786.0256840832121</v>
      </c>
    </row>
    <row r="178" spans="1:14" ht="12.75">
      <c r="A178" s="58">
        <f t="shared" si="58"/>
        <v>88847424.17649616</v>
      </c>
      <c r="B178" s="47">
        <f t="shared" si="59"/>
        <v>0.003034962253774505</v>
      </c>
      <c r="C178" s="49">
        <f t="shared" si="60"/>
        <v>81414.09529678959</v>
      </c>
      <c r="D178" s="49">
        <f t="shared" si="61"/>
        <v>81636.54889678958</v>
      </c>
      <c r="E178" s="46">
        <f t="shared" si="48"/>
        <v>160</v>
      </c>
      <c r="F178" s="49">
        <f t="shared" si="49"/>
        <v>8.252314880722368</v>
      </c>
      <c r="G178" s="59">
        <f t="shared" si="50"/>
        <v>977.7014578992585</v>
      </c>
      <c r="H178" s="49">
        <f t="shared" si="51"/>
        <v>16174.053307123275</v>
      </c>
      <c r="I178" s="65">
        <f t="shared" si="52"/>
        <v>11305.424133103059</v>
      </c>
      <c r="J178" s="59">
        <f t="shared" si="53"/>
        <v>977.7014578992585</v>
      </c>
      <c r="K178" s="46" t="str">
        <f t="shared" si="54"/>
        <v>SONE 3</v>
      </c>
      <c r="L178" s="46" t="str">
        <f t="shared" si="55"/>
        <v>NOT OK</v>
      </c>
      <c r="M178" s="46">
        <f t="shared" si="56"/>
        <v>0.008440526312043896</v>
      </c>
      <c r="N178" s="55">
        <f t="shared" si="57"/>
        <v>-664.7014578992585</v>
      </c>
    </row>
    <row r="179" spans="1:14" ht="12.75">
      <c r="A179" s="58">
        <f t="shared" si="58"/>
        <v>83040402.98848988</v>
      </c>
      <c r="B179" s="47">
        <f t="shared" si="59"/>
        <v>0.0030350405945704906</v>
      </c>
      <c r="C179" s="49">
        <f t="shared" si="60"/>
        <v>71121.35540952998</v>
      </c>
      <c r="D179" s="49">
        <f t="shared" si="61"/>
        <v>71343.80900952997</v>
      </c>
      <c r="E179" s="46">
        <f t="shared" si="48"/>
        <v>170</v>
      </c>
      <c r="F179" s="49">
        <f t="shared" si="49"/>
        <v>7.71294789505424</v>
      </c>
      <c r="G179" s="59">
        <f t="shared" si="50"/>
        <v>863.4228866006329</v>
      </c>
      <c r="H179" s="49">
        <f t="shared" si="51"/>
        <v>14138.248812440892</v>
      </c>
      <c r="I179" s="65">
        <f t="shared" si="52"/>
        <v>9885.242280557388</v>
      </c>
      <c r="J179" s="59">
        <f t="shared" si="53"/>
        <v>863.4228866006329</v>
      </c>
      <c r="K179" s="46" t="str">
        <f t="shared" si="54"/>
        <v>SONE 3</v>
      </c>
      <c r="L179" s="46" t="str">
        <f t="shared" si="55"/>
        <v>NOT OK</v>
      </c>
      <c r="M179" s="46">
        <f t="shared" si="56"/>
        <v>0.00893298986481671</v>
      </c>
      <c r="N179" s="55">
        <f t="shared" si="57"/>
        <v>-550.4228866006329</v>
      </c>
    </row>
    <row r="180" spans="1:14" ht="12.75">
      <c r="A180" s="58">
        <f t="shared" si="58"/>
        <v>77233381.80048358</v>
      </c>
      <c r="B180" s="47">
        <f t="shared" si="59"/>
        <v>0.0030351307070788616</v>
      </c>
      <c r="C180" s="49">
        <f t="shared" si="60"/>
        <v>61523.938026357966</v>
      </c>
      <c r="D180" s="49">
        <f t="shared" si="61"/>
        <v>61746.39162635797</v>
      </c>
      <c r="E180" s="46">
        <f t="shared" si="48"/>
        <v>180</v>
      </c>
      <c r="F180" s="49">
        <f t="shared" si="49"/>
        <v>7.173580909386111</v>
      </c>
      <c r="G180" s="59">
        <f t="shared" si="50"/>
        <v>756.1899703104671</v>
      </c>
      <c r="H180" s="49">
        <f t="shared" si="51"/>
        <v>12239.322182716265</v>
      </c>
      <c r="I180" s="65">
        <f t="shared" si="52"/>
        <v>8560.342267168056</v>
      </c>
      <c r="J180" s="59">
        <f t="shared" si="53"/>
        <v>756.1899703104671</v>
      </c>
      <c r="K180" s="46" t="str">
        <f t="shared" si="54"/>
        <v>SONE 3</v>
      </c>
      <c r="L180" s="46" t="str">
        <f t="shared" si="55"/>
        <v>NOT OK</v>
      </c>
      <c r="M180" s="46">
        <f t="shared" si="56"/>
        <v>0.009486479841091877</v>
      </c>
      <c r="N180" s="55">
        <f t="shared" si="57"/>
        <v>-443.18997031046706</v>
      </c>
    </row>
    <row r="181" spans="1:14" ht="12.75">
      <c r="A181" s="58">
        <f t="shared" si="58"/>
        <v>71426360.61247729</v>
      </c>
      <c r="B181" s="47">
        <f t="shared" si="59"/>
        <v>0.003035235460115872</v>
      </c>
      <c r="C181" s="49">
        <f t="shared" si="60"/>
        <v>52621.84314732813</v>
      </c>
      <c r="D181" s="49">
        <f t="shared" si="61"/>
        <v>52844.29674732813</v>
      </c>
      <c r="E181" s="46">
        <f t="shared" si="48"/>
        <v>190</v>
      </c>
      <c r="F181" s="49">
        <f t="shared" si="49"/>
        <v>6.634213923717981</v>
      </c>
      <c r="G181" s="59">
        <f t="shared" si="50"/>
        <v>656.0027091889942</v>
      </c>
      <c r="H181" s="49">
        <f t="shared" si="51"/>
        <v>10477.273417996645</v>
      </c>
      <c r="I181" s="65">
        <f t="shared" si="52"/>
        <v>7330.72409298831</v>
      </c>
      <c r="J181" s="59">
        <f t="shared" si="53"/>
        <v>656.0027091889942</v>
      </c>
      <c r="K181" s="46" t="str">
        <f t="shared" si="54"/>
        <v>SONE 3</v>
      </c>
      <c r="L181" s="46" t="str">
        <f t="shared" si="55"/>
        <v>NOT OK</v>
      </c>
      <c r="M181" s="46">
        <f t="shared" si="56"/>
        <v>0.010113089215621922</v>
      </c>
      <c r="N181" s="55">
        <f t="shared" si="57"/>
        <v>-343.00270918899423</v>
      </c>
    </row>
    <row r="182" spans="1:14" ht="12.75">
      <c r="A182" s="58">
        <f t="shared" si="58"/>
        <v>65619339.42447102</v>
      </c>
      <c r="B182" s="47">
        <f t="shared" si="59"/>
        <v>0.003035358737110305</v>
      </c>
      <c r="C182" s="49">
        <f t="shared" si="60"/>
        <v>44415.070772514264</v>
      </c>
      <c r="D182" s="49">
        <f t="shared" si="61"/>
        <v>44637.524372514265</v>
      </c>
      <c r="E182" s="46">
        <f t="shared" si="48"/>
        <v>200</v>
      </c>
      <c r="F182" s="49">
        <f t="shared" si="49"/>
        <v>6.094846938049853</v>
      </c>
      <c r="G182" s="59">
        <f t="shared" si="50"/>
        <v>562.8611034486702</v>
      </c>
      <c r="H182" s="49">
        <f t="shared" si="51"/>
        <v>8852.102518345684</v>
      </c>
      <c r="I182" s="65">
        <f t="shared" si="52"/>
        <v>6196.387758089784</v>
      </c>
      <c r="J182" s="59">
        <f t="shared" si="53"/>
        <v>562.8611034486702</v>
      </c>
      <c r="K182" s="46" t="str">
        <f t="shared" si="54"/>
        <v>SONE 3</v>
      </c>
      <c r="L182" s="46" t="str">
        <f t="shared" si="55"/>
        <v>NOT OK</v>
      </c>
      <c r="M182" s="46">
        <f t="shared" si="56"/>
        <v>0.010828332071103345</v>
      </c>
      <c r="N182" s="55">
        <f t="shared" si="57"/>
        <v>-249.86110344867018</v>
      </c>
    </row>
    <row r="183" spans="1:14" ht="12.75">
      <c r="A183" s="58">
        <f t="shared" si="58"/>
        <v>59812318.236464724</v>
      </c>
      <c r="B183" s="47">
        <f t="shared" si="59"/>
        <v>0.0030355059281565334</v>
      </c>
      <c r="C183" s="49">
        <f t="shared" si="60"/>
        <v>36903.620902018665</v>
      </c>
      <c r="D183" s="49">
        <f t="shared" si="61"/>
        <v>37126.074502018666</v>
      </c>
      <c r="E183" s="46">
        <f t="shared" si="48"/>
        <v>210</v>
      </c>
      <c r="F183" s="49">
        <f t="shared" si="49"/>
        <v>5.555479952381725</v>
      </c>
      <c r="G183" s="59">
        <f t="shared" si="50"/>
        <v>476.7651533773547</v>
      </c>
      <c r="H183" s="49">
        <f t="shared" si="51"/>
        <v>7363.809483851164</v>
      </c>
      <c r="I183" s="65">
        <f t="shared" si="52"/>
        <v>5157.33326257123</v>
      </c>
      <c r="J183" s="59">
        <f t="shared" si="53"/>
        <v>476.7651533773547</v>
      </c>
      <c r="K183" s="46" t="str">
        <f t="shared" si="54"/>
        <v>SONE 3</v>
      </c>
      <c r="L183" s="46" t="str">
        <f t="shared" si="55"/>
        <v>NOT OK</v>
      </c>
      <c r="M183" s="46">
        <f t="shared" si="56"/>
        <v>0.011652445471375757</v>
      </c>
      <c r="N183" s="55">
        <f t="shared" si="57"/>
        <v>-163.7651533773547</v>
      </c>
    </row>
    <row r="184" spans="1:14" ht="12.75">
      <c r="A184" s="58">
        <f t="shared" si="58"/>
        <v>54005297.04845844</v>
      </c>
      <c r="B184" s="47">
        <f t="shared" si="59"/>
        <v>0.0030356847391807412</v>
      </c>
      <c r="C184" s="49">
        <f t="shared" si="60"/>
        <v>30087.49353598767</v>
      </c>
      <c r="D184" s="49">
        <f t="shared" si="61"/>
        <v>30309.94713598767</v>
      </c>
      <c r="E184" s="46">
        <f t="shared" si="48"/>
        <v>220</v>
      </c>
      <c r="F184" s="49">
        <f t="shared" si="49"/>
        <v>5.016112966713596</v>
      </c>
      <c r="G184" s="59">
        <f t="shared" si="50"/>
        <v>397.7148593750567</v>
      </c>
      <c r="H184" s="49">
        <f t="shared" si="51"/>
        <v>6012.394314637692</v>
      </c>
      <c r="I184" s="65">
        <f t="shared" si="52"/>
        <v>4213.560606572669</v>
      </c>
      <c r="J184" s="59">
        <f t="shared" si="53"/>
        <v>397.7148593750567</v>
      </c>
      <c r="K184" s="46" t="str">
        <f t="shared" si="54"/>
        <v>SONE 3</v>
      </c>
      <c r="L184" s="46" t="str">
        <f t="shared" si="55"/>
        <v>NOT OK</v>
      </c>
      <c r="M184" s="46">
        <f t="shared" si="56"/>
        <v>0.012612334813427868</v>
      </c>
      <c r="N184" s="55">
        <f t="shared" si="57"/>
        <v>-84.71485937505668</v>
      </c>
    </row>
    <row r="185" spans="1:14" ht="12.75">
      <c r="A185" s="58">
        <f t="shared" si="58"/>
        <v>48198275.860452175</v>
      </c>
      <c r="B185" s="47">
        <f t="shared" si="59"/>
        <v>0.003035906585344066</v>
      </c>
      <c r="C185" s="49">
        <f t="shared" si="60"/>
        <v>23966.688674637942</v>
      </c>
      <c r="D185" s="49">
        <f t="shared" si="61"/>
        <v>24189.142274637943</v>
      </c>
      <c r="E185" s="46">
        <f t="shared" si="48"/>
        <v>230</v>
      </c>
      <c r="F185" s="49">
        <f t="shared" si="49"/>
        <v>4.476745981045468</v>
      </c>
      <c r="G185" s="59">
        <f t="shared" si="50"/>
        <v>325.71022201451683</v>
      </c>
      <c r="H185" s="49">
        <f t="shared" si="51"/>
        <v>4797.85701088825</v>
      </c>
      <c r="I185" s="65">
        <f t="shared" si="52"/>
        <v>3365.069790299472</v>
      </c>
      <c r="J185" s="59">
        <f t="shared" si="53"/>
        <v>325.71022201451683</v>
      </c>
      <c r="K185" s="46" t="str">
        <f t="shared" si="54"/>
        <v>SONE 3</v>
      </c>
      <c r="L185" s="46" t="str">
        <f t="shared" si="55"/>
        <v>NOT OK</v>
      </c>
      <c r="M185" s="46">
        <f t="shared" si="56"/>
        <v>0.013744567036787506</v>
      </c>
      <c r="N185" s="55">
        <f t="shared" si="57"/>
        <v>-12.71022201451683</v>
      </c>
    </row>
    <row r="186" spans="1:14" ht="12.75">
      <c r="A186" s="58">
        <f t="shared" si="58"/>
        <v>42391254.67244588</v>
      </c>
      <c r="B186" s="47">
        <f t="shared" si="59"/>
        <v>0.003036189128145644</v>
      </c>
      <c r="C186" s="49">
        <f t="shared" si="60"/>
        <v>18541.206318304492</v>
      </c>
      <c r="D186" s="49">
        <f t="shared" si="61"/>
        <v>18763.659918304493</v>
      </c>
      <c r="E186" s="46">
        <f t="shared" si="48"/>
        <v>240</v>
      </c>
      <c r="F186" s="49">
        <f t="shared" si="49"/>
        <v>3.937378995377339</v>
      </c>
      <c r="G186" s="59">
        <f t="shared" si="50"/>
        <v>260.751242145885</v>
      </c>
      <c r="H186" s="49">
        <f t="shared" si="51"/>
        <v>3720.1975728829175</v>
      </c>
      <c r="I186" s="65">
        <f t="shared" si="52"/>
        <v>2611.860814065526</v>
      </c>
      <c r="J186" s="59">
        <f t="shared" si="53"/>
        <v>260.751242145885</v>
      </c>
      <c r="K186" s="46" t="str">
        <f t="shared" si="54"/>
        <v>SONE 3</v>
      </c>
      <c r="L186" s="46" t="str">
        <f t="shared" si="55"/>
        <v>NOT OK</v>
      </c>
      <c r="M186" s="46">
        <f t="shared" si="56"/>
        <v>0.015100135144033008</v>
      </c>
      <c r="N186" s="55">
        <f t="shared" si="57"/>
        <v>52.24875785411501</v>
      </c>
    </row>
    <row r="187" spans="1:14" ht="12.75">
      <c r="A187" s="58">
        <f t="shared" si="58"/>
        <v>36584233.4844396</v>
      </c>
      <c r="B187" s="47">
        <f t="shared" si="59"/>
        <v>0.0030365612249962873</v>
      </c>
      <c r="C187" s="49">
        <f t="shared" si="60"/>
        <v>13811.046467534446</v>
      </c>
      <c r="D187" s="49">
        <f t="shared" si="61"/>
        <v>14033.500067534447</v>
      </c>
      <c r="E187" s="46">
        <f t="shared" si="48"/>
        <v>250</v>
      </c>
      <c r="F187" s="49">
        <f t="shared" si="49"/>
        <v>3.39801200970921</v>
      </c>
      <c r="G187" s="59">
        <f t="shared" si="50"/>
        <v>202.8379210881956</v>
      </c>
      <c r="H187" s="49">
        <f t="shared" si="51"/>
        <v>2779.416001073138</v>
      </c>
      <c r="I187" s="65">
        <f t="shared" si="52"/>
        <v>1953.9336783758265</v>
      </c>
      <c r="J187" s="59">
        <f t="shared" si="53"/>
        <v>202.8379210881956</v>
      </c>
      <c r="K187" s="46" t="str">
        <f t="shared" si="54"/>
        <v>SONE 3</v>
      </c>
      <c r="L187" s="46" t="str">
        <f t="shared" si="55"/>
        <v>NOT OK</v>
      </c>
      <c r="M187" s="46">
        <f t="shared" si="56"/>
        <v>0.01675235080047841</v>
      </c>
      <c r="N187" s="55">
        <f t="shared" si="57"/>
        <v>110.1620789118044</v>
      </c>
    </row>
    <row r="188" spans="1:14" ht="12.75">
      <c r="A188" s="58">
        <f t="shared" si="58"/>
        <v>30777212.29643331</v>
      </c>
      <c r="B188" s="47">
        <f t="shared" si="59"/>
        <v>0.003037073471569271</v>
      </c>
      <c r="C188" s="49">
        <f t="shared" si="60"/>
        <v>9776.209123286315</v>
      </c>
      <c r="D188" s="49">
        <f t="shared" si="61"/>
        <v>9998.662723286316</v>
      </c>
      <c r="E188" s="46">
        <f t="shared" si="48"/>
        <v>260</v>
      </c>
      <c r="F188" s="49">
        <f t="shared" si="49"/>
        <v>2.8586450240410817</v>
      </c>
      <c r="G188" s="59">
        <f t="shared" si="50"/>
        <v>151.97026100533932</v>
      </c>
      <c r="H188" s="49">
        <f t="shared" si="51"/>
        <v>1975.5122962364815</v>
      </c>
      <c r="I188" s="65">
        <f t="shared" si="52"/>
        <v>1391.2883840980855</v>
      </c>
      <c r="J188" s="59">
        <f t="shared" si="53"/>
        <v>151.97026100533932</v>
      </c>
      <c r="K188" s="46" t="str">
        <f t="shared" si="54"/>
        <v>SONE 3</v>
      </c>
      <c r="L188" s="46" t="str">
        <f t="shared" si="55"/>
        <v>NOT OK</v>
      </c>
      <c r="M188" s="46">
        <f t="shared" si="56"/>
        <v>0.018810555467432183</v>
      </c>
      <c r="N188" s="55">
        <f t="shared" si="57"/>
        <v>161.02973899466068</v>
      </c>
    </row>
    <row r="189" spans="1:14" ht="12.75">
      <c r="A189" s="58">
        <f t="shared" si="58"/>
        <v>24970191.10842703</v>
      </c>
      <c r="B189" s="47">
        <f t="shared" si="59"/>
        <v>0.00303782342043404</v>
      </c>
      <c r="C189" s="49">
        <f t="shared" si="60"/>
        <v>6436.6942874061415</v>
      </c>
      <c r="D189" s="49">
        <f t="shared" si="61"/>
        <v>6659.147887406141</v>
      </c>
      <c r="E189" s="46">
        <f t="shared" si="48"/>
        <v>270</v>
      </c>
      <c r="F189" s="49">
        <f t="shared" si="49"/>
        <v>2.3192780383729534</v>
      </c>
      <c r="G189" s="59">
        <f t="shared" si="50"/>
        <v>108.14826571461394</v>
      </c>
      <c r="H189" s="49">
        <f t="shared" si="51"/>
        <v>1308.486459836122</v>
      </c>
      <c r="I189" s="65">
        <f t="shared" si="52"/>
        <v>923.9249328597821</v>
      </c>
      <c r="J189" s="59">
        <f t="shared" si="53"/>
        <v>108.14826571461394</v>
      </c>
      <c r="K189" s="46" t="str">
        <f t="shared" si="54"/>
        <v>SONE 3</v>
      </c>
      <c r="L189" s="46" t="str">
        <f t="shared" si="55"/>
        <v>NOT OK</v>
      </c>
      <c r="M189" s="46">
        <f t="shared" si="56"/>
        <v>0.021445355808970244</v>
      </c>
      <c r="N189" s="55">
        <f t="shared" si="57"/>
        <v>204.85173428538604</v>
      </c>
    </row>
    <row r="190" spans="1:14" ht="12.75">
      <c r="A190" s="58">
        <f t="shared" si="58"/>
        <v>19163169.920420744</v>
      </c>
      <c r="B190" s="47">
        <f t="shared" si="59"/>
        <v>0.003039026514045671</v>
      </c>
      <c r="C190" s="49">
        <f t="shared" si="60"/>
        <v>3792.5019639644374</v>
      </c>
      <c r="D190" s="49">
        <f t="shared" si="61"/>
        <v>4014.9555639644373</v>
      </c>
      <c r="E190" s="46">
        <f t="shared" si="48"/>
        <v>280</v>
      </c>
      <c r="F190" s="49">
        <f t="shared" si="49"/>
        <v>1.7799110527048245</v>
      </c>
      <c r="G190" s="59">
        <f t="shared" si="50"/>
        <v>71.37194265082967</v>
      </c>
      <c r="H190" s="49">
        <f t="shared" si="51"/>
        <v>778.338494990615</v>
      </c>
      <c r="I190" s="65">
        <f t="shared" si="52"/>
        <v>551.8433281133945</v>
      </c>
      <c r="J190" s="59">
        <f t="shared" si="53"/>
        <v>71.37194265082967</v>
      </c>
      <c r="K190" s="46" t="str">
        <f t="shared" si="54"/>
        <v>SONE 3</v>
      </c>
      <c r="L190" s="46" t="str">
        <f t="shared" si="55"/>
        <v>NOT OK</v>
      </c>
      <c r="M190" s="46">
        <f t="shared" si="56"/>
        <v>0.02493852607337057</v>
      </c>
      <c r="N190" s="55">
        <f t="shared" si="57"/>
        <v>241.62805734917032</v>
      </c>
    </row>
    <row r="191" spans="1:14" ht="12.75">
      <c r="A191" s="58">
        <f t="shared" si="58"/>
        <v>13356148.732414456</v>
      </c>
      <c r="B191" s="47">
        <f t="shared" si="59"/>
        <v>0.003041271265699612</v>
      </c>
      <c r="C191" s="49">
        <f t="shared" si="60"/>
        <v>1843.6321640509898</v>
      </c>
      <c r="D191" s="49">
        <f t="shared" si="61"/>
        <v>2066.08576405099</v>
      </c>
      <c r="E191" s="46">
        <f t="shared" si="48"/>
        <v>290</v>
      </c>
      <c r="F191" s="49">
        <f t="shared" si="49"/>
        <v>1.2405440670366958</v>
      </c>
      <c r="G191" s="59">
        <f t="shared" si="50"/>
        <v>41.64130854395174</v>
      </c>
      <c r="H191" s="49">
        <f t="shared" si="51"/>
        <v>385.0684097410959</v>
      </c>
      <c r="I191" s="65">
        <f t="shared" si="52"/>
        <v>275.04357869500234</v>
      </c>
      <c r="J191" s="59">
        <f t="shared" si="53"/>
        <v>41.64130854395174</v>
      </c>
      <c r="K191" s="46" t="str">
        <f t="shared" si="54"/>
        <v>SONE 3</v>
      </c>
      <c r="L191" s="46" t="str">
        <f t="shared" si="55"/>
        <v>NOT OK</v>
      </c>
      <c r="M191" s="46">
        <f t="shared" si="56"/>
        <v>0.02979118837553631</v>
      </c>
      <c r="N191" s="55">
        <f t="shared" si="57"/>
        <v>271.3586914560483</v>
      </c>
    </row>
    <row r="192" spans="1:14" ht="12.75">
      <c r="A192" s="58">
        <f t="shared" si="58"/>
        <v>7549127.54440817</v>
      </c>
      <c r="B192" s="47">
        <f t="shared" si="59"/>
        <v>0.0030469433175902873</v>
      </c>
      <c r="C192" s="49">
        <f t="shared" si="60"/>
        <v>590.0849323715355</v>
      </c>
      <c r="D192" s="49">
        <f t="shared" si="61"/>
        <v>812.5385323715354</v>
      </c>
      <c r="E192" s="46">
        <f t="shared" si="48"/>
        <v>300</v>
      </c>
      <c r="F192" s="49">
        <f t="shared" si="49"/>
        <v>0.7011770813685672</v>
      </c>
      <c r="G192" s="59">
        <f t="shared" si="50"/>
        <v>18.956411083957292</v>
      </c>
      <c r="H192" s="49">
        <f t="shared" si="51"/>
        <v>128.6762331350392</v>
      </c>
      <c r="I192" s="65">
        <f t="shared" si="52"/>
        <v>93.525716075738</v>
      </c>
      <c r="J192" s="59">
        <f t="shared" si="53"/>
        <v>18.956411083957292</v>
      </c>
      <c r="K192" s="46" t="str">
        <f t="shared" si="54"/>
        <v>SONE 3</v>
      </c>
      <c r="L192" s="46" t="str">
        <f t="shared" si="55"/>
        <v>NOT OK</v>
      </c>
      <c r="M192" s="46">
        <f t="shared" si="56"/>
        <v>0.036988915162425945</v>
      </c>
      <c r="N192" s="55">
        <f t="shared" si="57"/>
        <v>294.0435889160427</v>
      </c>
    </row>
    <row r="193" spans="1:14" ht="12.75">
      <c r="A193" s="58">
        <f t="shared" si="58"/>
        <v>1742106.3564018854</v>
      </c>
      <c r="B193" s="47">
        <f t="shared" si="59"/>
        <v>0.0030892405117926513</v>
      </c>
      <c r="C193" s="49">
        <f t="shared" si="60"/>
        <v>31.860873362794155</v>
      </c>
      <c r="D193" s="49">
        <f t="shared" si="61"/>
        <v>254.31447336279416</v>
      </c>
      <c r="E193" s="46">
        <f t="shared" si="48"/>
        <v>310</v>
      </c>
      <c r="F193" s="49">
        <f t="shared" si="49"/>
        <v>0.16181009570043858</v>
      </c>
      <c r="G193" s="59">
        <f t="shared" si="50"/>
        <v>3.3174775016652793</v>
      </c>
      <c r="H193" s="49">
        <f t="shared" si="51"/>
        <v>9.162217532324158</v>
      </c>
      <c r="I193" s="65">
        <f t="shared" si="52"/>
        <v>7.290001439689733</v>
      </c>
      <c r="J193" s="59">
        <f t="shared" si="53"/>
        <v>3.3174775016652793</v>
      </c>
      <c r="K193" s="46" t="str">
        <f t="shared" si="54"/>
        <v>SONE 3</v>
      </c>
      <c r="L193" s="46" t="str">
        <f t="shared" si="55"/>
        <v>OK</v>
      </c>
      <c r="M193" s="46">
        <f t="shared" si="56"/>
        <v>0.048775039354212506</v>
      </c>
      <c r="N193" s="55">
        <f t="shared" si="57"/>
        <v>309.6825224983347</v>
      </c>
    </row>
    <row r="194" spans="1:14" ht="12.75">
      <c r="A194" s="58">
        <f t="shared" si="58"/>
        <v>1451755.2970015714</v>
      </c>
      <c r="B194" s="47">
        <f t="shared" si="59"/>
        <v>0.0030999119995656693</v>
      </c>
      <c r="C194" s="49">
        <f t="shared" si="60"/>
        <v>22.202037306973125</v>
      </c>
      <c r="D194" s="49">
        <f t="shared" si="61"/>
        <v>244.65563730697312</v>
      </c>
      <c r="E194" s="46">
        <f t="shared" si="48"/>
        <v>310.5</v>
      </c>
      <c r="F194" s="49">
        <f t="shared" si="49"/>
        <v>0.13484174641703217</v>
      </c>
      <c r="G194" s="59">
        <f t="shared" si="50"/>
        <v>2.720505323105678</v>
      </c>
      <c r="H194" s="49">
        <f t="shared" si="51"/>
        <v>6.779603203493505</v>
      </c>
      <c r="I194" s="65">
        <f t="shared" si="52"/>
        <v>5.479406437542662</v>
      </c>
      <c r="J194" s="59">
        <f t="shared" si="53"/>
        <v>2.720505323105678</v>
      </c>
      <c r="K194" s="46" t="str">
        <f t="shared" si="54"/>
        <v>SONE 3</v>
      </c>
      <c r="L194" s="46" t="str">
        <f t="shared" si="55"/>
        <v>OK</v>
      </c>
      <c r="M194" s="46">
        <f t="shared" si="56"/>
        <v>0.049564963270536576</v>
      </c>
      <c r="N194" s="55">
        <f t="shared" si="57"/>
        <v>310.27949467689433</v>
      </c>
    </row>
    <row r="195" spans="1:14" ht="12.75">
      <c r="A195" s="58">
        <f t="shared" si="58"/>
        <v>1161404.237601257</v>
      </c>
      <c r="B195" s="47">
        <f t="shared" si="59"/>
        <v>0.0031156828983622104</v>
      </c>
      <c r="C195" s="49">
        <f t="shared" si="60"/>
        <v>14.281594152263015</v>
      </c>
      <c r="D195" s="49">
        <f t="shared" si="61"/>
        <v>236.735194152263</v>
      </c>
      <c r="E195" s="46">
        <f t="shared" si="48"/>
        <v>311</v>
      </c>
      <c r="F195" s="49">
        <f t="shared" si="49"/>
        <v>0.10787339713362573</v>
      </c>
      <c r="G195" s="59">
        <f t="shared" si="50"/>
        <v>2.141153361797184</v>
      </c>
      <c r="H195" s="49">
        <f t="shared" si="51"/>
        <v>4.739198881864361</v>
      </c>
      <c r="I195" s="65">
        <f t="shared" si="52"/>
        <v>3.9070307736863943</v>
      </c>
      <c r="J195" s="59">
        <f t="shared" si="53"/>
        <v>2.141153361797184</v>
      </c>
      <c r="K195" s="46" t="str">
        <f t="shared" si="54"/>
        <v>SONE 3</v>
      </c>
      <c r="L195" s="46" t="str">
        <f t="shared" si="55"/>
        <v>OK</v>
      </c>
      <c r="M195" s="46">
        <f t="shared" si="56"/>
        <v>0.05038097646731939</v>
      </c>
      <c r="N195" s="55">
        <f t="shared" si="57"/>
        <v>310.8588466382028</v>
      </c>
    </row>
    <row r="196" spans="1:14" ht="12.75">
      <c r="A196" s="58">
        <f t="shared" si="58"/>
        <v>871053.1782009427</v>
      </c>
      <c r="B196" s="47">
        <f t="shared" si="59"/>
        <v>0.0031413673316001574</v>
      </c>
      <c r="C196" s="49">
        <f t="shared" si="60"/>
        <v>8.099620793206874</v>
      </c>
      <c r="D196" s="49">
        <f t="shared" si="61"/>
        <v>230.55322079320686</v>
      </c>
      <c r="E196" s="46">
        <f t="shared" si="48"/>
        <v>311.5</v>
      </c>
      <c r="F196" s="49">
        <f t="shared" si="49"/>
        <v>0.08090504785021929</v>
      </c>
      <c r="G196" s="59">
        <f t="shared" si="50"/>
        <v>1.5794231492024287</v>
      </c>
      <c r="H196" s="49">
        <f t="shared" si="51"/>
        <v>3.0410116077313574</v>
      </c>
      <c r="I196" s="65">
        <f t="shared" si="52"/>
        <v>2.572880858978741</v>
      </c>
      <c r="J196" s="59">
        <f t="shared" si="53"/>
        <v>1.5794231492024287</v>
      </c>
      <c r="K196" s="46" t="str">
        <f t="shared" si="54"/>
        <v>SONE 3</v>
      </c>
      <c r="L196" s="46" t="str">
        <f t="shared" si="55"/>
        <v>OK</v>
      </c>
      <c r="M196" s="46">
        <f t="shared" si="56"/>
        <v>0.051224428292743734</v>
      </c>
      <c r="N196" s="55">
        <f t="shared" si="57"/>
        <v>311.42057685079754</v>
      </c>
    </row>
    <row r="197" spans="1:14" ht="12.75">
      <c r="A197" s="58">
        <f t="shared" si="58"/>
        <v>580702.1188006285</v>
      </c>
      <c r="B197" s="47">
        <f t="shared" si="59"/>
        <v>0.003190664881051044</v>
      </c>
      <c r="C197" s="49">
        <f t="shared" si="60"/>
        <v>3.656323701218336</v>
      </c>
      <c r="D197" s="49">
        <f t="shared" si="61"/>
        <v>226.10992370121832</v>
      </c>
      <c r="E197" s="46">
        <f t="shared" si="48"/>
        <v>312</v>
      </c>
      <c r="F197" s="49">
        <f t="shared" si="49"/>
        <v>0.053936698566812866</v>
      </c>
      <c r="G197" s="59">
        <f t="shared" si="50"/>
        <v>1.035317017237544</v>
      </c>
      <c r="H197" s="49">
        <f t="shared" si="51"/>
        <v>1.6850540676997974</v>
      </c>
      <c r="I197" s="65">
        <f t="shared" si="52"/>
        <v>1.4769680067867041</v>
      </c>
      <c r="J197" s="59">
        <f t="shared" si="53"/>
        <v>1.035317017237544</v>
      </c>
      <c r="K197" s="46" t="str">
        <f t="shared" si="54"/>
        <v>SONE 3</v>
      </c>
      <c r="L197" s="46" t="str">
        <f t="shared" si="55"/>
        <v>OK</v>
      </c>
      <c r="M197" s="46">
        <f t="shared" si="56"/>
        <v>0.052096795154326705</v>
      </c>
      <c r="N197" s="55">
        <f t="shared" si="57"/>
        <v>311.96468298276244</v>
      </c>
    </row>
    <row r="198" spans="1:14" ht="12.75">
      <c r="A198" s="58">
        <f t="shared" si="58"/>
        <v>290351.05940031423</v>
      </c>
      <c r="B198" s="47">
        <f t="shared" si="59"/>
        <v>0.003324820706909211</v>
      </c>
      <c r="C198" s="49">
        <f t="shared" si="60"/>
        <v>0.9525146956963646</v>
      </c>
      <c r="D198" s="49">
        <f t="shared" si="61"/>
        <v>223.40611469569635</v>
      </c>
      <c r="E198" s="46">
        <f t="shared" si="48"/>
        <v>312.5</v>
      </c>
      <c r="F198" s="49">
        <f t="shared" si="49"/>
        <v>0.026968349283406433</v>
      </c>
      <c r="G198" s="59">
        <f t="shared" si="50"/>
        <v>0.5088390412539243</v>
      </c>
      <c r="H198" s="49">
        <f t="shared" si="51"/>
        <v>0.6713531764695049</v>
      </c>
      <c r="I198" s="65">
        <f t="shared" si="52"/>
        <v>0.6193156079864502</v>
      </c>
      <c r="J198" s="59">
        <f t="shared" si="53"/>
        <v>0.5088390412539243</v>
      </c>
      <c r="K198" s="46" t="str">
        <f t="shared" si="54"/>
        <v>SONE 3</v>
      </c>
      <c r="L198" s="46" t="str">
        <f t="shared" si="55"/>
        <v>OK</v>
      </c>
      <c r="M198" s="46">
        <f t="shared" si="56"/>
        <v>0.05299976435956789</v>
      </c>
      <c r="N198" s="55">
        <f t="shared" si="57"/>
        <v>312.4911609587461</v>
      </c>
    </row>
    <row r="199" spans="1:14" ht="13.5" thickBot="1">
      <c r="A199" s="61">
        <f t="shared" si="58"/>
        <v>0</v>
      </c>
      <c r="B199" s="52">
        <v>0</v>
      </c>
      <c r="C199" s="53">
        <f t="shared" si="60"/>
        <v>0</v>
      </c>
      <c r="D199" s="53">
        <f t="shared" si="61"/>
        <v>222.4536</v>
      </c>
      <c r="E199" s="36">
        <f t="shared" si="48"/>
        <v>313</v>
      </c>
      <c r="F199" s="53">
        <f t="shared" si="49"/>
        <v>0</v>
      </c>
      <c r="G199" s="60">
        <f t="shared" si="50"/>
        <v>0</v>
      </c>
      <c r="H199" s="53">
        <f t="shared" si="51"/>
        <v>0</v>
      </c>
      <c r="I199" s="66">
        <f t="shared" si="52"/>
        <v>0</v>
      </c>
      <c r="J199" s="60">
        <f t="shared" si="53"/>
        <v>0</v>
      </c>
      <c r="K199" s="36" t="str">
        <f t="shared" si="54"/>
        <v>SONE 3</v>
      </c>
      <c r="L199" s="36" t="str">
        <f t="shared" si="55"/>
        <v>OK</v>
      </c>
      <c r="M199" s="36">
        <v>0</v>
      </c>
      <c r="N199" s="56">
        <f t="shared" si="57"/>
        <v>313</v>
      </c>
    </row>
  </sheetData>
  <sheetProtection/>
  <printOptions/>
  <pageMargins left="0.75" right="0.75" top="1" bottom="1" header="0.5" footer="0.5"/>
  <pageSetup fitToHeight="4" horizontalDpi="600" verticalDpi="600" orientation="landscape" scale="53" r:id="rId1"/>
  <rowBreaks count="3" manualBreakCount="3">
    <brk id="63" max="255" man="1"/>
    <brk id="111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Åsmund Gyldenskog</dc:creator>
  <cp:keywords/>
  <dc:description/>
  <cp:lastModifiedBy>gyldensk</cp:lastModifiedBy>
  <cp:lastPrinted>2005-05-05T10:56:29Z</cp:lastPrinted>
  <dcterms:created xsi:type="dcterms:W3CDTF">2005-02-16T12:09:39Z</dcterms:created>
  <dcterms:modified xsi:type="dcterms:W3CDTF">2005-05-06T13:00:35Z</dcterms:modified>
  <cp:category/>
  <cp:version/>
  <cp:contentType/>
  <cp:contentStatus/>
</cp:coreProperties>
</file>