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8490" windowHeight="8610" tabRatio="928" activeTab="1"/>
  </bookViews>
  <sheets>
    <sheet name="About Production analysis.xls" sheetId="1" r:id="rId1"/>
    <sheet name="Data and Calculations" sheetId="2" r:id="rId2"/>
    <sheet name="Input Matrix" sheetId="3" r:id="rId3"/>
    <sheet name="Calculated Pressure" sheetId="4" r:id="rId4"/>
    <sheet name="Calculated Oil Flow" sheetId="5" r:id="rId5"/>
    <sheet name="Calculated Flow Velocity" sheetId="6" r:id="rId6"/>
    <sheet name="Chart 1 Pressure" sheetId="7" r:id="rId7"/>
    <sheet name="Chart 2 Flow" sheetId="8" r:id="rId8"/>
    <sheet name="Chart 3 Flow Velocity" sheetId="9" r:id="rId9"/>
    <sheet name="Chart 4 Gained Oil Production" sheetId="10" r:id="rId10"/>
    <sheet name="Saved Test Data" sheetId="11" r:id="rId11"/>
  </sheets>
  <externalReferences>
    <externalReference r:id="rId14"/>
  </externalReferences>
  <definedNames>
    <definedName name="A">'Data and Calculations'!$B$40</definedName>
    <definedName name="Ao">'Data and Calculations'!$B$41</definedName>
    <definedName name="Aw">'Data and Calculations'!$B$42</definedName>
    <definedName name="D">'Data and Calculations'!$B$27</definedName>
    <definedName name="Do">'Data and Calculations'!$B$28</definedName>
    <definedName name="Dw">'Data and Calculations'!$B$29</definedName>
    <definedName name="e">'Data and Calculations'!$B$31</definedName>
    <definedName name="fm">#REF!</definedName>
    <definedName name="fmA">'Data and Calculations'!$M$19</definedName>
    <definedName name="fmB">'Data and Calculations'!$M$24</definedName>
    <definedName name="fmC">'Data and Calculations'!$M$29</definedName>
    <definedName name="fmo">#REF!</definedName>
    <definedName name="fmw">#REF!</definedName>
    <definedName name="g">'Data and Calculations'!$F$25</definedName>
    <definedName name="J">'Data and Calculations'!$B$16</definedName>
    <definedName name="Lbsep">'Data and Calculations'!$B$21</definedName>
    <definedName name="Lo">'Data and Calculations'!$B$25</definedName>
    <definedName name="Lw">'Data and Calculations'!$B$26</definedName>
    <definedName name="my_m">'Data and Calculations'!$F$41</definedName>
    <definedName name="my_o">'Data and Calculations'!$F$23</definedName>
    <definedName name="my_w">'Data and Calculations'!$G$23</definedName>
    <definedName name="Pr">'Data and Calculations'!$B$11</definedName>
    <definedName name="_xlnm.Print_Area" localSheetId="1">'Data and Calculations'!$A$1:$R$48</definedName>
    <definedName name="Psep20">'Data and Calculations'!$F$13</definedName>
    <definedName name="Psep60">'Data and Calculations'!$F$12</definedName>
    <definedName name="Pwf">#REF!</definedName>
    <definedName name="Q">'Data and Calculations'!$J$19</definedName>
    <definedName name="Qo">'Data and Calculations'!$J$24</definedName>
    <definedName name="Qw">'Data and Calculations'!$J$29</definedName>
    <definedName name="r_m">'Data and Calculations'!$F$40</definedName>
    <definedName name="r_o">'Data and Calculations'!$F$22</definedName>
    <definedName name="r_w">'Data and Calculations'!$G$22</definedName>
    <definedName name="Re">'Data and Calculations'!$L$19</definedName>
    <definedName name="ReA">#REF!</definedName>
    <definedName name="ReB">'Data and Calculations'!$L$24</definedName>
    <definedName name="ReC">'Data and Calculations'!$L$29</definedName>
    <definedName name="solver_adj" localSheetId="3" hidden="1">'Calculated Pressure'!$I$19,'Calculated Pressure'!$I$29</definedName>
    <definedName name="solver_adj" localSheetId="1" hidden="1">'Data and Calculations'!$I$19,'Data and Calculations'!$I$29</definedName>
    <definedName name="solver_adj" localSheetId="2" hidden="1">'Input Matrix'!$I$14,'Input Matrix'!$I$24</definedName>
    <definedName name="solver_adj" localSheetId="10" hidden="1">'Saved Test Data'!$I$14,'Saved Test Data'!$I$19</definedName>
    <definedName name="solver_cvg" localSheetId="3" hidden="1">0.0001</definedName>
    <definedName name="solver_cvg" localSheetId="1" hidden="1">0.0001</definedName>
    <definedName name="solver_cvg" localSheetId="2" hidden="1">0.0001</definedName>
    <definedName name="solver_cvg" localSheetId="10" hidden="1">0.0001</definedName>
    <definedName name="solver_drv" localSheetId="3" hidden="1">1</definedName>
    <definedName name="solver_drv" localSheetId="1" hidden="1">1</definedName>
    <definedName name="solver_drv" localSheetId="2" hidden="1">1</definedName>
    <definedName name="solver_drv" localSheetId="10" hidden="1">1</definedName>
    <definedName name="solver_est" localSheetId="3" hidden="1">1</definedName>
    <definedName name="solver_est" localSheetId="1" hidden="1">1</definedName>
    <definedName name="solver_est" localSheetId="2" hidden="1">1</definedName>
    <definedName name="solver_est" localSheetId="10" hidden="1">1</definedName>
    <definedName name="solver_itr" localSheetId="3" hidden="1">100</definedName>
    <definedName name="solver_itr" localSheetId="1" hidden="1">100</definedName>
    <definedName name="solver_itr" localSheetId="2" hidden="1">100</definedName>
    <definedName name="solver_itr" localSheetId="10" hidden="1">100</definedName>
    <definedName name="solver_lhs1" localSheetId="3" hidden="1">'Calculated Pressure'!$I$19</definedName>
    <definedName name="solver_lhs1" localSheetId="1" hidden="1">'Data and Calculations'!$I$19</definedName>
    <definedName name="solver_lhs1" localSheetId="2" hidden="1">'Input Matrix'!$I$14</definedName>
    <definedName name="solver_lhs1" localSheetId="10" hidden="1">'Saved Test Data'!$I$14</definedName>
    <definedName name="solver_lhs2" localSheetId="3" hidden="1">'Calculated Pressure'!$I$19</definedName>
    <definedName name="solver_lhs2" localSheetId="1" hidden="1">'Data and Calculations'!$I$19</definedName>
    <definedName name="solver_lhs2" localSheetId="2" hidden="1">'Input Matrix'!$I$14</definedName>
    <definedName name="solver_lhs2" localSheetId="10" hidden="1">'Saved Test Data'!$I$14</definedName>
    <definedName name="solver_lhs3" localSheetId="3" hidden="1">'Calculated Pressure'!$I$19</definedName>
    <definedName name="solver_lhs3" localSheetId="1" hidden="1">'Data and Calculations'!$I$19</definedName>
    <definedName name="solver_lhs3" localSheetId="2" hidden="1">'Input Matrix'!$I$14</definedName>
    <definedName name="solver_lhs3" localSheetId="10" hidden="1">'Saved Test Data'!$I$14</definedName>
    <definedName name="solver_lin" localSheetId="3" hidden="1">2</definedName>
    <definedName name="solver_lin" localSheetId="1" hidden="1">2</definedName>
    <definedName name="solver_lin" localSheetId="2" hidden="1">2</definedName>
    <definedName name="solver_lin" localSheetId="10" hidden="1">2</definedName>
    <definedName name="solver_neg" localSheetId="3" hidden="1">2</definedName>
    <definedName name="solver_neg" localSheetId="1" hidden="1">2</definedName>
    <definedName name="solver_neg" localSheetId="2" hidden="1">2</definedName>
    <definedName name="solver_neg" localSheetId="10" hidden="1">2</definedName>
    <definedName name="solver_num" localSheetId="3" hidden="1">3</definedName>
    <definedName name="solver_num" localSheetId="1" hidden="1">3</definedName>
    <definedName name="solver_num" localSheetId="2" hidden="1">3</definedName>
    <definedName name="solver_num" localSheetId="10" hidden="1">3</definedName>
    <definedName name="solver_nwt" localSheetId="3" hidden="1">1</definedName>
    <definedName name="solver_nwt" localSheetId="1" hidden="1">1</definedName>
    <definedName name="solver_nwt" localSheetId="2" hidden="1">1</definedName>
    <definedName name="solver_nwt" localSheetId="10" hidden="1">1</definedName>
    <definedName name="solver_opt" localSheetId="3" hidden="1">'Calculated Pressure'!$K$36</definedName>
    <definedName name="solver_opt" localSheetId="1" hidden="1">'Data and Calculations'!$Q$38</definedName>
    <definedName name="solver_opt" localSheetId="2" hidden="1">'Input Matrix'!$K$31</definedName>
    <definedName name="solver_opt" localSheetId="10" hidden="1">'Saved Test Data'!$K$31</definedName>
    <definedName name="solver_pre" localSheetId="3" hidden="1">0.000001</definedName>
    <definedName name="solver_pre" localSheetId="1" hidden="1">0.000001</definedName>
    <definedName name="solver_pre" localSheetId="2" hidden="1">0.000001</definedName>
    <definedName name="solver_pre" localSheetId="10" hidden="1">0.000001</definedName>
    <definedName name="solver_rel1" localSheetId="3" hidden="1">1</definedName>
    <definedName name="solver_rel1" localSheetId="1" hidden="1">1</definedName>
    <definedName name="solver_rel1" localSheetId="2" hidden="1">1</definedName>
    <definedName name="solver_rel1" localSheetId="10" hidden="1">1</definedName>
    <definedName name="solver_rel2" localSheetId="3" hidden="1">3</definedName>
    <definedName name="solver_rel2" localSheetId="1" hidden="1">3</definedName>
    <definedName name="solver_rel2" localSheetId="2" hidden="1">3</definedName>
    <definedName name="solver_rel2" localSheetId="10" hidden="1">3</definedName>
    <definedName name="solver_rel3" localSheetId="3" hidden="1">3</definedName>
    <definedName name="solver_rel3" localSheetId="1" hidden="1">3</definedName>
    <definedName name="solver_rel3" localSheetId="2" hidden="1">3</definedName>
    <definedName name="solver_rel3" localSheetId="10" hidden="1">3</definedName>
    <definedName name="solver_rhs1" localSheetId="3" hidden="1">'Calculated Pressure'!$F$17</definedName>
    <definedName name="solver_rhs1" localSheetId="1" hidden="1">'Data and Calculations'!$F$17</definedName>
    <definedName name="solver_rhs1" localSheetId="2" hidden="1">299</definedName>
    <definedName name="solver_rhs1" localSheetId="10" hidden="1">'Saved Test Data'!$F$17</definedName>
    <definedName name="solver_rhs2" localSheetId="3" hidden="1">'Calculated Pressure'!$I$24</definedName>
    <definedName name="solver_rhs2" localSheetId="1" hidden="1">'Data and Calculations'!$I$24</definedName>
    <definedName name="solver_rhs2" localSheetId="2" hidden="1">60</definedName>
    <definedName name="solver_rhs2" localSheetId="10" hidden="1">'Saved Test Data'!$I$19</definedName>
    <definedName name="solver_rhs3" localSheetId="3" hidden="1">'Calculated Pressure'!$I$29</definedName>
    <definedName name="solver_rhs3" localSheetId="1" hidden="1">'Data and Calculations'!$I$29</definedName>
    <definedName name="solver_rhs3" localSheetId="2" hidden="1">20</definedName>
    <definedName name="solver_rhs3" localSheetId="10" hidden="1">'Saved Test Data'!$I$24</definedName>
    <definedName name="solver_scl" localSheetId="3" hidden="1">2</definedName>
    <definedName name="solver_scl" localSheetId="1" hidden="1">2</definedName>
    <definedName name="solver_scl" localSheetId="2" hidden="1">2</definedName>
    <definedName name="solver_scl" localSheetId="10" hidden="1">2</definedName>
    <definedName name="solver_sho" localSheetId="3" hidden="1">2</definedName>
    <definedName name="solver_sho" localSheetId="1" hidden="1">2</definedName>
    <definedName name="solver_sho" localSheetId="2" hidden="1">2</definedName>
    <definedName name="solver_sho" localSheetId="10" hidden="1">2</definedName>
    <definedName name="solver_tim" localSheetId="3" hidden="1">100</definedName>
    <definedName name="solver_tim" localSheetId="1" hidden="1">100</definedName>
    <definedName name="solver_tim" localSheetId="2" hidden="1">100</definedName>
    <definedName name="solver_tim" localSheetId="10" hidden="1">100</definedName>
    <definedName name="solver_tol" localSheetId="3" hidden="1">0.05</definedName>
    <definedName name="solver_tol" localSheetId="1" hidden="1">0.05</definedName>
    <definedName name="solver_tol" localSheetId="2" hidden="1">0.05</definedName>
    <definedName name="solver_tol" localSheetId="10" hidden="1">0.05</definedName>
    <definedName name="solver_typ" localSheetId="3" hidden="1">3</definedName>
    <definedName name="solver_typ" localSheetId="1" hidden="1">3</definedName>
    <definedName name="solver_typ" localSheetId="2" hidden="1">3</definedName>
    <definedName name="solver_typ" localSheetId="10" hidden="1">3</definedName>
    <definedName name="solver_val" localSheetId="3" hidden="1">0</definedName>
    <definedName name="solver_val" localSheetId="1" hidden="1">0</definedName>
    <definedName name="solver_val" localSheetId="2" hidden="1">0</definedName>
    <definedName name="solver_val" localSheetId="10" hidden="1">0</definedName>
    <definedName name="TVD">'Data and Calculations'!$B$15</definedName>
    <definedName name="TVD_asep">'Data and Calculations'!$B$20</definedName>
    <definedName name="TVD_bsep">'[1]Sheet1'!$D$3</definedName>
    <definedName name="U">'Data and Calculations'!$K$19</definedName>
    <definedName name="uo">'Data and Calculations'!$K$24</definedName>
    <definedName name="uw">'Data and Calculations'!$K$29</definedName>
    <definedName name="wc">'Data and Calculations'!$B$13</definedName>
  </definedNames>
  <calcPr fullCalcOnLoad="1"/>
</workbook>
</file>

<file path=xl/sharedStrings.xml><?xml version="1.0" encoding="utf-8"?>
<sst xmlns="http://schemas.openxmlformats.org/spreadsheetml/2006/main" count="236" uniqueCount="131">
  <si>
    <t>m</t>
  </si>
  <si>
    <t>Re</t>
  </si>
  <si>
    <t>m/s</t>
  </si>
  <si>
    <t>m2</t>
  </si>
  <si>
    <t>m3/s</t>
  </si>
  <si>
    <t>m/s2</t>
  </si>
  <si>
    <t>TVD</t>
  </si>
  <si>
    <t>%</t>
  </si>
  <si>
    <t>WELL DATA</t>
  </si>
  <si>
    <t>DGRASS DATA</t>
  </si>
  <si>
    <t>TUBING DATA</t>
  </si>
  <si>
    <t>FLUID DATA</t>
  </si>
  <si>
    <t>Oil</t>
  </si>
  <si>
    <t>Water</t>
  </si>
  <si>
    <t>Density (kg/m3)</t>
  </si>
  <si>
    <t>Viscosity (Pas)</t>
  </si>
  <si>
    <t>Gravity constant, g</t>
  </si>
  <si>
    <t>Resevoir pressure, Pr</t>
  </si>
  <si>
    <t>Water cut, wc</t>
  </si>
  <si>
    <t>Productivity index, J</t>
  </si>
  <si>
    <t>Well lengt below DGRASS, Lbsep</t>
  </si>
  <si>
    <t>Diameter oil tubing, Do</t>
  </si>
  <si>
    <t>Diameter water tubing, Dw</t>
  </si>
  <si>
    <t>Equivalent roughness, e</t>
  </si>
  <si>
    <t>Below DGRASS, A</t>
  </si>
  <si>
    <t>Above DGRASS, oil, Ao</t>
  </si>
  <si>
    <t>Above DGRASS, water, Aw</t>
  </si>
  <si>
    <r>
      <t>FLUID DATA</t>
    </r>
    <r>
      <rPr>
        <sz val="10"/>
        <rFont val="Arial"/>
        <family val="0"/>
      </rPr>
      <t xml:space="preserve"> (weigthed mean values)</t>
    </r>
  </si>
  <si>
    <t>FLOW AREA</t>
  </si>
  <si>
    <t>COMPUTED DATA</t>
  </si>
  <si>
    <t>CALCULATIONS</t>
  </si>
  <si>
    <t>Average pressure:</t>
  </si>
  <si>
    <t>Errors</t>
  </si>
  <si>
    <t>Tube A</t>
  </si>
  <si>
    <t>Tube B</t>
  </si>
  <si>
    <t>Tube C</t>
  </si>
  <si>
    <t>Assumed Pwf</t>
  </si>
  <si>
    <t>Maximum allowed Pwf</t>
  </si>
  <si>
    <t>bar</t>
  </si>
  <si>
    <t>2) Sett a maximum allowed calculated value of Pwf</t>
  </si>
  <si>
    <t>PRESSURE DATA</t>
  </si>
  <si>
    <t>Project/ id:</t>
  </si>
  <si>
    <t>Field:</t>
  </si>
  <si>
    <t>Well:</t>
  </si>
  <si>
    <t>Nr.</t>
  </si>
  <si>
    <t>Depth</t>
  </si>
  <si>
    <t>m3/s/bar</t>
  </si>
  <si>
    <t>IN DATA</t>
  </si>
  <si>
    <t>Oil, Psoil</t>
  </si>
  <si>
    <t>Water, Pswater</t>
  </si>
  <si>
    <t>Well head pressure</t>
  </si>
  <si>
    <t>Separators:</t>
  </si>
  <si>
    <t>TVD, TVD_dgrass</t>
  </si>
  <si>
    <t>Pressure</t>
  </si>
  <si>
    <t>D</t>
  </si>
  <si>
    <t>Diameter</t>
  </si>
  <si>
    <t>Nr</t>
  </si>
  <si>
    <t>Outflow</t>
  </si>
  <si>
    <t>PRESSURES AND PRESSURE LOSSES</t>
  </si>
  <si>
    <t>Choose separator pressure to be unchanged:</t>
  </si>
  <si>
    <t>depth md</t>
  </si>
  <si>
    <t>depth_tvd</t>
  </si>
  <si>
    <t>Nr of test series:</t>
  </si>
  <si>
    <t>Velocity Performance</t>
  </si>
  <si>
    <r>
      <t xml:space="preserve">3b) The  </t>
    </r>
    <r>
      <rPr>
        <b/>
        <sz val="10"/>
        <rFont val="Arial"/>
        <family val="2"/>
      </rPr>
      <t>Range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Solve </t>
    </r>
    <r>
      <rPr>
        <sz val="10"/>
        <rFont val="Arial"/>
        <family val="2"/>
      </rPr>
      <t>button</t>
    </r>
    <r>
      <rPr>
        <sz val="10"/>
        <rFont val="Arial"/>
        <family val="0"/>
      </rPr>
      <t xml:space="preserve"> calculates the optimal Pwf and suitable Psep, using a range of test variables.</t>
    </r>
  </si>
  <si>
    <t>4) Calculation can be repeted with different inn data.</t>
  </si>
  <si>
    <t xml:space="preserve">    Both use the SOLVER function. SOLVER is an implemented Excel function (see MS Excel Help).</t>
  </si>
  <si>
    <r>
      <t xml:space="preserve">1) Fill in all values in the five IN DATA tables in the </t>
    </r>
    <r>
      <rPr>
        <b/>
        <sz val="10"/>
        <rFont val="Arial"/>
        <family val="2"/>
      </rPr>
      <t>Data and calculations</t>
    </r>
    <r>
      <rPr>
        <sz val="10"/>
        <rFont val="Arial"/>
        <family val="0"/>
      </rPr>
      <t xml:space="preserve"> sheet.</t>
    </r>
  </si>
  <si>
    <r>
      <t xml:space="preserve">2) All </t>
    </r>
    <r>
      <rPr>
        <b/>
        <sz val="10"/>
        <rFont val="Arial"/>
        <family val="2"/>
      </rPr>
      <t>bold black</t>
    </r>
    <r>
      <rPr>
        <sz val="10"/>
        <rFont val="Arial"/>
        <family val="0"/>
      </rPr>
      <t xml:space="preserve"> numbers are determined by the user</t>
    </r>
  </si>
  <si>
    <r>
      <t xml:space="preserve">    When using </t>
    </r>
    <r>
      <rPr>
        <b/>
        <sz val="10"/>
        <rFont val="Arial"/>
        <family val="2"/>
      </rPr>
      <t>Range Solve</t>
    </r>
    <r>
      <rPr>
        <sz val="10"/>
        <rFont val="Arial"/>
        <family val="0"/>
      </rPr>
      <t xml:space="preserve"> data are saved automatically.</t>
    </r>
  </si>
  <si>
    <r>
      <t xml:space="preserve">     The range of variables has to be defined in the </t>
    </r>
    <r>
      <rPr>
        <b/>
        <sz val="10"/>
        <rFont val="Arial"/>
        <family val="2"/>
      </rPr>
      <t>Input Matrix</t>
    </r>
    <r>
      <rPr>
        <sz val="10"/>
        <rFont val="Arial"/>
        <family val="0"/>
      </rPr>
      <t xml:space="preserve"> sheet. (The value of the cell: Nr. of test series, are not to be changed). </t>
    </r>
  </si>
  <si>
    <t xml:space="preserve">     The maximum number of test series are 40. </t>
  </si>
  <si>
    <t>1) Assume a pressure, Pwf</t>
  </si>
  <si>
    <r>
      <t xml:space="preserve">    The </t>
    </r>
    <r>
      <rPr>
        <b/>
        <sz val="10"/>
        <rFont val="Arial"/>
        <family val="2"/>
      </rPr>
      <t>Save Data</t>
    </r>
    <r>
      <rPr>
        <sz val="10"/>
        <rFont val="Arial"/>
        <family val="0"/>
      </rPr>
      <t xml:space="preserve"> button saves calculated pressures, flows and velocitys, as well as input test data.</t>
    </r>
  </si>
  <si>
    <t>MD</t>
  </si>
  <si>
    <t>Gained oil production</t>
  </si>
  <si>
    <t>Reference outflow</t>
  </si>
  <si>
    <t xml:space="preserve">CALCULATED OIL FLOW </t>
  </si>
  <si>
    <t>Diameter below DGRASS, D</t>
  </si>
  <si>
    <t>Calculated Outflow</t>
  </si>
  <si>
    <t xml:space="preserve">Calculated Reference Outflow </t>
  </si>
  <si>
    <t>Gained Oil Production</t>
  </si>
  <si>
    <r>
      <t>Q</t>
    </r>
    <r>
      <rPr>
        <b/>
        <vertAlign val="subscript"/>
        <sz val="10"/>
        <rFont val="Arial"/>
        <family val="2"/>
      </rPr>
      <t>mixture</t>
    </r>
  </si>
  <si>
    <r>
      <t>Q</t>
    </r>
    <r>
      <rPr>
        <b/>
        <vertAlign val="subscript"/>
        <sz val="10"/>
        <rFont val="Arial"/>
        <family val="2"/>
      </rPr>
      <t>oil</t>
    </r>
  </si>
  <si>
    <r>
      <t xml:space="preserve">5) The </t>
    </r>
    <r>
      <rPr>
        <b/>
        <sz val="10"/>
        <rFont val="Arial"/>
        <family val="2"/>
      </rPr>
      <t>Clear Results</t>
    </r>
    <r>
      <rPr>
        <sz val="10"/>
        <rFont val="Arial"/>
        <family val="0"/>
      </rPr>
      <t xml:space="preserve"> button in the Pressure Performance sheet clears </t>
    </r>
    <r>
      <rPr>
        <u val="single"/>
        <sz val="10"/>
        <rFont val="Arial"/>
        <family val="2"/>
      </rPr>
      <t>all</t>
    </r>
    <r>
      <rPr>
        <sz val="10"/>
        <rFont val="Arial"/>
        <family val="0"/>
      </rPr>
      <t xml:space="preserve"> saved results.</t>
    </r>
  </si>
  <si>
    <r>
      <t>Q</t>
    </r>
    <r>
      <rPr>
        <b/>
        <vertAlign val="subscript"/>
        <sz val="10"/>
        <rFont val="Arial"/>
        <family val="2"/>
      </rPr>
      <t>water</t>
    </r>
  </si>
  <si>
    <r>
      <t>P</t>
    </r>
    <r>
      <rPr>
        <b/>
        <vertAlign val="subscript"/>
        <sz val="10"/>
        <rFont val="Arial"/>
        <family val="2"/>
      </rPr>
      <t>wf</t>
    </r>
  </si>
  <si>
    <r>
      <t>P</t>
    </r>
    <r>
      <rPr>
        <b/>
        <vertAlign val="subscript"/>
        <sz val="10"/>
        <rFont val="Arial"/>
        <family val="2"/>
      </rPr>
      <t>soil</t>
    </r>
  </si>
  <si>
    <r>
      <t>P</t>
    </r>
    <r>
      <rPr>
        <b/>
        <vertAlign val="subscript"/>
        <sz val="10"/>
        <rFont val="Arial"/>
        <family val="2"/>
      </rPr>
      <t>swater</t>
    </r>
  </si>
  <si>
    <r>
      <t>f</t>
    </r>
    <r>
      <rPr>
        <b/>
        <vertAlign val="subscript"/>
        <sz val="10"/>
        <rFont val="Arial"/>
        <family val="2"/>
      </rPr>
      <t>m</t>
    </r>
  </si>
  <si>
    <r>
      <t>D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tot</t>
    </r>
  </si>
  <si>
    <r>
      <t>D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friction</t>
    </r>
  </si>
  <si>
    <r>
      <t>D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hydrostatic</t>
    </r>
  </si>
  <si>
    <r>
      <t>P</t>
    </r>
    <r>
      <rPr>
        <b/>
        <vertAlign val="subscript"/>
        <sz val="10"/>
        <rFont val="Arial"/>
        <family val="2"/>
      </rPr>
      <t>seperator</t>
    </r>
  </si>
  <si>
    <r>
      <t>P</t>
    </r>
    <r>
      <rPr>
        <b/>
        <vertAlign val="subscript"/>
        <sz val="10"/>
        <rFont val="Arial"/>
        <family val="2"/>
      </rPr>
      <t>dgrassA</t>
    </r>
  </si>
  <si>
    <r>
      <t>P</t>
    </r>
    <r>
      <rPr>
        <b/>
        <vertAlign val="subscript"/>
        <sz val="10"/>
        <rFont val="Arial"/>
        <family val="2"/>
      </rPr>
      <t>dgrassB</t>
    </r>
  </si>
  <si>
    <r>
      <t>P</t>
    </r>
    <r>
      <rPr>
        <b/>
        <vertAlign val="subscript"/>
        <sz val="10"/>
        <rFont val="Arial"/>
        <family val="2"/>
      </rPr>
      <t>dgrassC</t>
    </r>
  </si>
  <si>
    <t>Tube B: Oil flow in  tube above DGRASS</t>
  </si>
  <si>
    <t>Tube C: Water flow in tube above DGRASS</t>
  </si>
  <si>
    <t>Tube A: Mixed  flow in tube below DGRASS</t>
  </si>
  <si>
    <t>MD below DGRASS, Lbsep</t>
  </si>
  <si>
    <t>MD above DGRAS, oil, Lo</t>
  </si>
  <si>
    <t>MD above DGRASS, water, Lw</t>
  </si>
  <si>
    <r>
      <t>u</t>
    </r>
    <r>
      <rPr>
        <b/>
        <vertAlign val="subscript"/>
        <sz val="10"/>
        <rFont val="Arial"/>
        <family val="2"/>
      </rPr>
      <t>mixture</t>
    </r>
  </si>
  <si>
    <r>
      <t>u</t>
    </r>
    <r>
      <rPr>
        <b/>
        <vertAlign val="subscript"/>
        <sz val="10"/>
        <rFont val="Arial"/>
        <family val="2"/>
      </rPr>
      <t>oil</t>
    </r>
  </si>
  <si>
    <r>
      <t>u</t>
    </r>
    <r>
      <rPr>
        <b/>
        <vertAlign val="subscript"/>
        <sz val="10"/>
        <rFont val="Arial"/>
        <family val="2"/>
      </rPr>
      <t>water</t>
    </r>
  </si>
  <si>
    <t>Water Cut</t>
  </si>
  <si>
    <t>wc</t>
  </si>
  <si>
    <t>3) There are two ways to solve, either for one singel sett of test data (Solve button), or for a range of test data (Range Solve button).</t>
  </si>
  <si>
    <r>
      <t xml:space="preserve">3a) The </t>
    </r>
    <r>
      <rPr>
        <b/>
        <sz val="10"/>
        <rFont val="Arial"/>
        <family val="2"/>
      </rPr>
      <t xml:space="preserve">Solve </t>
    </r>
    <r>
      <rPr>
        <sz val="10"/>
        <rFont val="Arial"/>
        <family val="2"/>
      </rPr>
      <t>button</t>
    </r>
    <r>
      <rPr>
        <sz val="10"/>
        <rFont val="Arial"/>
        <family val="0"/>
      </rPr>
      <t xml:space="preserve"> calculates the optimal Pwf and suitable Psep , using one singel sett of test data.</t>
    </r>
  </si>
  <si>
    <t>Downhole GRAvity Slip Seperator</t>
  </si>
  <si>
    <t>Reference tube: natural flow without DGRASS</t>
  </si>
  <si>
    <t>6) Annulus diameter</t>
  </si>
  <si>
    <r>
      <t xml:space="preserve">    It is recomended to set the water tubing diameter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 as an equivalent annulus diameter using: 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D</t>
    </r>
    <r>
      <rPr>
        <vertAlign val="subscript"/>
        <sz val="10"/>
        <rFont val="Arial"/>
        <family val="2"/>
      </rPr>
      <t>casing</t>
    </r>
    <r>
      <rPr>
        <sz val="10"/>
        <rFont val="Arial"/>
        <family val="0"/>
      </rPr>
      <t xml:space="preserve"> - D</t>
    </r>
    <r>
      <rPr>
        <vertAlign val="subscript"/>
        <sz val="10"/>
        <rFont val="Arial"/>
        <family val="2"/>
      </rPr>
      <t>tubing</t>
    </r>
    <r>
      <rPr>
        <sz val="10"/>
        <rFont val="Arial"/>
        <family val="0"/>
      </rPr>
      <t>.</t>
    </r>
  </si>
  <si>
    <r>
      <t xml:space="preserve">    D</t>
    </r>
    <r>
      <rPr>
        <vertAlign val="subscript"/>
        <sz val="10"/>
        <rFont val="Arial"/>
        <family val="2"/>
      </rPr>
      <t>casing</t>
    </r>
    <r>
      <rPr>
        <sz val="10"/>
        <rFont val="Arial"/>
        <family val="0"/>
      </rPr>
      <t xml:space="preserve"> is the inner diameter of the casing. D</t>
    </r>
    <r>
      <rPr>
        <vertAlign val="subscript"/>
        <sz val="10"/>
        <rFont val="Arial"/>
        <family val="2"/>
      </rPr>
      <t>tubing</t>
    </r>
    <r>
      <rPr>
        <sz val="10"/>
        <rFont val="Arial"/>
        <family val="0"/>
      </rPr>
      <t xml:space="preserve"> is the external diameter of the tubing.</t>
    </r>
  </si>
  <si>
    <r>
      <t>P</t>
    </r>
    <r>
      <rPr>
        <b/>
        <vertAlign val="subscript"/>
        <sz val="10"/>
        <rFont val="Arial"/>
        <family val="2"/>
      </rPr>
      <t>wfref</t>
    </r>
  </si>
  <si>
    <r>
      <t>TVD</t>
    </r>
    <r>
      <rPr>
        <b/>
        <vertAlign val="subscript"/>
        <sz val="10"/>
        <rFont val="Arial"/>
        <family val="2"/>
      </rPr>
      <t>_dgrass</t>
    </r>
  </si>
  <si>
    <r>
      <t>TVD_</t>
    </r>
    <r>
      <rPr>
        <b/>
        <vertAlign val="subscript"/>
        <sz val="10"/>
        <rFont val="Arial"/>
        <family val="2"/>
      </rPr>
      <t>dgrass</t>
    </r>
  </si>
  <si>
    <r>
      <t>U</t>
    </r>
    <r>
      <rPr>
        <b/>
        <vertAlign val="subscript"/>
        <sz val="10"/>
        <rFont val="Arial"/>
        <family val="2"/>
      </rPr>
      <t>mixture</t>
    </r>
  </si>
  <si>
    <r>
      <t>U</t>
    </r>
    <r>
      <rPr>
        <b/>
        <vertAlign val="subscript"/>
        <sz val="10"/>
        <rFont val="Arial"/>
        <family val="2"/>
      </rPr>
      <t>oil</t>
    </r>
  </si>
  <si>
    <r>
      <t>U</t>
    </r>
    <r>
      <rPr>
        <b/>
        <vertAlign val="subscript"/>
        <sz val="10"/>
        <rFont val="Arial"/>
        <family val="2"/>
      </rPr>
      <t>water</t>
    </r>
  </si>
  <si>
    <r>
      <t>u</t>
    </r>
    <r>
      <rPr>
        <b/>
        <vertAlign val="subscript"/>
        <sz val="10"/>
        <rFont val="Arial"/>
        <family val="2"/>
      </rPr>
      <t>mix.ref</t>
    </r>
  </si>
  <si>
    <r>
      <t>U</t>
    </r>
    <r>
      <rPr>
        <b/>
        <vertAlign val="subscript"/>
        <sz val="10"/>
        <rFont val="Arial"/>
        <family val="2"/>
      </rPr>
      <t>mix.ref</t>
    </r>
  </si>
  <si>
    <r>
      <t>Tvd</t>
    </r>
    <r>
      <rPr>
        <b/>
        <vertAlign val="subscript"/>
        <sz val="10"/>
        <rFont val="Arial"/>
        <family val="2"/>
      </rPr>
      <t>_dgrass</t>
    </r>
  </si>
  <si>
    <r>
      <t>L</t>
    </r>
    <r>
      <rPr>
        <b/>
        <vertAlign val="subscript"/>
        <sz val="10"/>
        <rFont val="Arial"/>
        <family val="2"/>
      </rPr>
      <t>bsep</t>
    </r>
  </si>
  <si>
    <r>
      <t>L</t>
    </r>
    <r>
      <rPr>
        <b/>
        <vertAlign val="subscript"/>
        <sz val="10"/>
        <rFont val="Arial"/>
        <family val="2"/>
      </rPr>
      <t>o</t>
    </r>
  </si>
  <si>
    <r>
      <t>L</t>
    </r>
    <r>
      <rPr>
        <b/>
        <vertAlign val="subscript"/>
        <sz val="10"/>
        <rFont val="Arial"/>
        <family val="2"/>
      </rPr>
      <t>w</t>
    </r>
  </si>
  <si>
    <r>
      <t>D</t>
    </r>
    <r>
      <rPr>
        <b/>
        <vertAlign val="subscript"/>
        <sz val="10"/>
        <rFont val="Arial"/>
        <family val="2"/>
      </rPr>
      <t>o</t>
    </r>
  </si>
  <si>
    <r>
      <t>D</t>
    </r>
    <r>
      <rPr>
        <b/>
        <vertAlign val="subscript"/>
        <sz val="10"/>
        <rFont val="Arial"/>
        <family val="2"/>
      </rPr>
      <t>w</t>
    </r>
  </si>
  <si>
    <r>
      <t>P</t>
    </r>
    <r>
      <rPr>
        <b/>
        <vertAlign val="subscript"/>
        <sz val="10"/>
        <rFont val="Arial"/>
        <family val="2"/>
      </rPr>
      <t>wf_max</t>
    </r>
  </si>
  <si>
    <r>
      <t>P</t>
    </r>
    <r>
      <rPr>
        <b/>
        <vertAlign val="subscript"/>
        <sz val="10"/>
        <rFont val="Arial"/>
        <family val="2"/>
      </rPr>
      <t>wf_assumed</t>
    </r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</si>
</sst>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000"/>
    <numFmt numFmtId="173" formatCode="0.000E+00"/>
    <numFmt numFmtId="174" formatCode="0.0"/>
    <numFmt numFmtId="175" formatCode="0.000000000000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8"/>
      <color indexed="22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sz val="12.5"/>
      <name val="Arial"/>
      <family val="2"/>
    </font>
    <font>
      <b/>
      <sz val="12.5"/>
      <name val="Arial"/>
      <family val="2"/>
    </font>
    <font>
      <b/>
      <sz val="14.5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4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9" xfId="0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1" fontId="1" fillId="0" borderId="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9" xfId="0" applyFont="1" applyBorder="1" applyAlignment="1">
      <alignment/>
    </xf>
    <xf numFmtId="11" fontId="6" fillId="0" borderId="9" xfId="0" applyNumberFormat="1" applyFont="1" applyBorder="1" applyAlignment="1">
      <alignment/>
    </xf>
    <xf numFmtId="0" fontId="6" fillId="0" borderId="8" xfId="0" applyFont="1" applyBorder="1" applyAlignment="1">
      <alignment/>
    </xf>
    <xf numFmtId="11" fontId="6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11" fontId="6" fillId="0" borderId="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4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0" borderId="9" xfId="0" applyNumberForma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174" fontId="0" fillId="0" borderId="0" xfId="0" applyNumberFormat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174" fontId="3" fillId="0" borderId="7" xfId="0" applyNumberFormat="1" applyFont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8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174" fontId="0" fillId="0" borderId="13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169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74" fontId="8" fillId="0" borderId="0" xfId="0" applyNumberFormat="1" applyFont="1" applyBorder="1" applyAlignment="1">
      <alignment/>
    </xf>
    <xf numFmtId="174" fontId="15" fillId="0" borderId="7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" fontId="16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74" fontId="1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18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74" fontId="19" fillId="0" borderId="0" xfId="0" applyNumberFormat="1" applyFont="1" applyAlignment="1">
      <alignment horizontal="center"/>
    </xf>
    <xf numFmtId="174" fontId="20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174" fontId="21" fillId="0" borderId="0" xfId="0" applyNumberFormat="1" applyFont="1" applyAlignment="1">
      <alignment horizontal="center"/>
    </xf>
    <xf numFmtId="174" fontId="0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Pressure vs TVD of DGRASS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075"/>
          <c:w val="0.861"/>
          <c:h val="0.83375"/>
        </c:manualLayout>
      </c:layout>
      <c:lineChart>
        <c:grouping val="standard"/>
        <c:varyColors val="0"/>
        <c:ser>
          <c:idx val="0"/>
          <c:order val="0"/>
          <c:tx>
            <c:v>Pwf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'Calculated Pressure'!$C$4:$C$44</c:f>
              <c:numCache>
                <c:ptCount val="41"/>
              </c:numCache>
            </c:numRef>
          </c:cat>
          <c:val>
            <c:numRef>
              <c:f>'Calculated Pressure'!$D$4:$D$44</c:f>
              <c:numCache>
                <c:ptCount val="41"/>
              </c:numCache>
            </c:numRef>
          </c:val>
          <c:smooth val="0"/>
        </c:ser>
        <c:ser>
          <c:idx val="1"/>
          <c:order val="1"/>
          <c:tx>
            <c:v>Psoil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'Calculated Pressure'!$C$4:$C$44</c:f>
              <c:numCache>
                <c:ptCount val="41"/>
              </c:numCache>
            </c:numRef>
          </c:cat>
          <c:val>
            <c:numRef>
              <c:f>'Calculated Pressure'!$E$4:$E$44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v>Pswater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'Calculated Pressure'!$C$4:$C$44</c:f>
              <c:numCache>
                <c:ptCount val="41"/>
              </c:numCache>
            </c:numRef>
          </c:cat>
          <c:val>
            <c:numRef>
              <c:f>'Calculated Pressure'!$F$4:$F$44</c:f>
              <c:numCache>
                <c:ptCount val="41"/>
              </c:numCache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TVD_dgrass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Pressure [bar]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3651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"/>
          <c:y val="0.14175"/>
        </c:manualLayout>
      </c:layout>
      <c:overlay val="0"/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Flow Performance vs TVD of DGRASS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8"/>
          <c:w val="0.9095"/>
          <c:h val="0.83"/>
        </c:manualLayout>
      </c:layout>
      <c:lineChart>
        <c:grouping val="standard"/>
        <c:varyColors val="0"/>
        <c:ser>
          <c:idx val="2"/>
          <c:order val="0"/>
          <c:tx>
            <c:v>Outflow (oil)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'Calculated Oil Flow'!$C$4:$C$44</c:f>
              <c:numCache>
                <c:ptCount val="41"/>
              </c:numCache>
            </c:numRef>
          </c:cat>
          <c:val>
            <c:numRef>
              <c:f>'Calculated Oil Flow'!$F$4:$F$44</c:f>
              <c:numCache>
                <c:ptCount val="41"/>
              </c:numCache>
            </c:numRef>
          </c:val>
          <c:smooth val="0"/>
        </c:ser>
        <c:ser>
          <c:idx val="3"/>
          <c:order val="1"/>
          <c:tx>
            <c:v>Reference outflow (oil)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'Calculated Oil Flow'!$C$4:$C$44</c:f>
              <c:numCache>
                <c:ptCount val="41"/>
              </c:numCache>
            </c:numRef>
          </c:cat>
          <c:val>
            <c:numRef>
              <c:f>'Calculated Oil Flow'!$J$4:$J$44</c:f>
              <c:numCache>
                <c:ptCount val="41"/>
              </c:numCache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TVD_dgrass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Flow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13675"/>
        </c:manualLayout>
      </c:layout>
      <c:overlay val="0"/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Velocity vs TVD of DGRASS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875"/>
          <c:w val="0.89225"/>
          <c:h val="0.83475"/>
        </c:manualLayout>
      </c:layout>
      <c:lineChart>
        <c:grouping val="standard"/>
        <c:varyColors val="0"/>
        <c:ser>
          <c:idx val="0"/>
          <c:order val="0"/>
          <c:tx>
            <c:v>UA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'Calculated Flow Velocity'!$D$5:$D$45</c:f>
              <c:numCache>
                <c:ptCount val="41"/>
              </c:numCache>
            </c:numRef>
          </c:cat>
          <c:val>
            <c:numRef>
              <c:f>'Calculated Flow Velocity'!$F$5:$F$45</c:f>
              <c:numCache>
                <c:ptCount val="41"/>
              </c:numCache>
            </c:numRef>
          </c:val>
          <c:smooth val="0"/>
        </c:ser>
        <c:ser>
          <c:idx val="1"/>
          <c:order val="1"/>
          <c:tx>
            <c:v>UB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'Calculated Flow Velocity'!$D$5:$D$45</c:f>
              <c:numCache>
                <c:ptCount val="41"/>
              </c:numCache>
            </c:numRef>
          </c:cat>
          <c:val>
            <c:numRef>
              <c:f>'Calculated Flow Velocity'!$G$5:$G$45</c:f>
              <c:numCache>
                <c:ptCount val="41"/>
              </c:numCache>
            </c:numRef>
          </c:val>
          <c:smooth val="0"/>
        </c:ser>
        <c:ser>
          <c:idx val="2"/>
          <c:order val="2"/>
          <c:tx>
            <c:v>UC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'Calculated Flow Velocity'!$D$5:$D$45</c:f>
              <c:numCache>
                <c:ptCount val="41"/>
              </c:numCache>
            </c:numRef>
          </c:cat>
          <c:val>
            <c:numRef>
              <c:f>'Calculated Flow Velocity'!$H$5:$H$45</c:f>
              <c:numCache>
                <c:ptCount val="41"/>
              </c:numCache>
            </c:numRef>
          </c:val>
          <c:smooth val="0"/>
        </c:ser>
        <c:ser>
          <c:idx val="3"/>
          <c:order val="3"/>
          <c:tx>
            <c:v>Uref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'Calculated Flow Velocity'!$D$5:$D$45</c:f>
              <c:numCache>
                <c:ptCount val="41"/>
              </c:numCache>
            </c:numRef>
          </c:cat>
          <c:val>
            <c:numRef>
              <c:f>'Calculated Flow Velocity'!$I$5:$I$45</c:f>
              <c:numCache>
                <c:ptCount val="41"/>
              </c:numCache>
            </c:numRef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TVD_dgrass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5505380"/>
        <c:crosses val="autoZero"/>
        <c:auto val="1"/>
        <c:lblOffset val="100"/>
        <c:noMultiLvlLbl val="0"/>
      </c:catAx>
      <c:valAx>
        <c:axId val="6550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Velocity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66930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435"/>
        </c:manualLayout>
      </c:layout>
      <c:overlay val="0"/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Gained oil production vs TVD of DGRASS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875"/>
          <c:w val="0.921"/>
          <c:h val="0.83025"/>
        </c:manualLayout>
      </c:layout>
      <c:lineChart>
        <c:grouping val="standard"/>
        <c:varyColors val="0"/>
        <c:ser>
          <c:idx val="0"/>
          <c:order val="0"/>
          <c:tx>
            <c:v>Gained oil production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'Calculated Oil Flow'!$C$4:$C$44</c:f>
              <c:numCache>
                <c:ptCount val="41"/>
              </c:numCache>
            </c:numRef>
          </c:cat>
          <c:val>
            <c:numRef>
              <c:f>'Calculated Oil Flow'!$N$4:$N$44</c:f>
              <c:numCache>
                <c:ptCount val="41"/>
              </c:numCache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TVD_dgrass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Gained oil production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2677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30</xdr:row>
      <xdr:rowOff>0</xdr:rowOff>
    </xdr:from>
    <xdr:to>
      <xdr:col>4</xdr:col>
      <xdr:colOff>1009650</xdr:colOff>
      <xdr:row>32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000625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29</xdr:row>
      <xdr:rowOff>133350</xdr:rowOff>
    </xdr:from>
    <xdr:to>
      <xdr:col>6</xdr:col>
      <xdr:colOff>476250</xdr:colOff>
      <xdr:row>32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972050"/>
          <a:ext cx="1057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27</xdr:row>
      <xdr:rowOff>19050</xdr:rowOff>
    </xdr:from>
    <xdr:to>
      <xdr:col>4</xdr:col>
      <xdr:colOff>971550</xdr:colOff>
      <xdr:row>29</xdr:row>
      <xdr:rowOff>47625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4533900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27</xdr:row>
      <xdr:rowOff>28575</xdr:rowOff>
    </xdr:from>
    <xdr:to>
      <xdr:col>6</xdr:col>
      <xdr:colOff>161925</xdr:colOff>
      <xdr:row>29</xdr:row>
      <xdr:rowOff>85725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4543425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32</xdr:row>
      <xdr:rowOff>76200</xdr:rowOff>
    </xdr:from>
    <xdr:to>
      <xdr:col>4</xdr:col>
      <xdr:colOff>1009650</xdr:colOff>
      <xdr:row>34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5410200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1</xdr:row>
      <xdr:rowOff>0</xdr:rowOff>
    </xdr:from>
    <xdr:to>
      <xdr:col>10</xdr:col>
      <xdr:colOff>438150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61925"/>
          <a:ext cx="1057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Shape 1025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4:B33"/>
  <sheetViews>
    <sheetView showGridLines="0" workbookViewId="0" topLeftCell="A7">
      <selection activeCell="B35" sqref="B35"/>
    </sheetView>
  </sheetViews>
  <sheetFormatPr defaultColWidth="9.140625" defaultRowHeight="12.75"/>
  <sheetData>
    <row r="4" ht="12.75">
      <c r="B4" s="1" t="s">
        <v>47</v>
      </c>
    </row>
    <row r="6" ht="12.75">
      <c r="B6" t="s">
        <v>67</v>
      </c>
    </row>
    <row r="8" ht="12.75">
      <c r="B8" t="s">
        <v>68</v>
      </c>
    </row>
    <row r="10" ht="12.75">
      <c r="B10" s="1" t="s">
        <v>30</v>
      </c>
    </row>
    <row r="12" ht="12.75">
      <c r="B12" t="s">
        <v>72</v>
      </c>
    </row>
    <row r="14" ht="12.75">
      <c r="B14" t="s">
        <v>39</v>
      </c>
    </row>
    <row r="16" ht="12.75">
      <c r="B16" t="s">
        <v>108</v>
      </c>
    </row>
    <row r="17" ht="12.75">
      <c r="B17" t="s">
        <v>66</v>
      </c>
    </row>
    <row r="19" ht="12.75">
      <c r="B19" t="s">
        <v>109</v>
      </c>
    </row>
    <row r="21" ht="12.75">
      <c r="B21" t="s">
        <v>64</v>
      </c>
    </row>
    <row r="22" ht="12.75">
      <c r="B22" t="s">
        <v>70</v>
      </c>
    </row>
    <row r="23" ht="12.75">
      <c r="B23" t="s">
        <v>71</v>
      </c>
    </row>
    <row r="25" ht="12.75">
      <c r="B25" t="s">
        <v>65</v>
      </c>
    </row>
    <row r="26" ht="12.75">
      <c r="B26" t="s">
        <v>73</v>
      </c>
    </row>
    <row r="27" ht="12.75">
      <c r="B27" t="s">
        <v>69</v>
      </c>
    </row>
    <row r="29" ht="12.75">
      <c r="B29" t="s">
        <v>84</v>
      </c>
    </row>
    <row r="31" ht="12.75">
      <c r="B31" t="s">
        <v>112</v>
      </c>
    </row>
    <row r="32" ht="15.75">
      <c r="B32" t="s">
        <v>113</v>
      </c>
    </row>
    <row r="33" ht="15.75">
      <c r="B33" t="s">
        <v>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52"/>
  <sheetViews>
    <sheetView showGridLines="0" tabSelected="1" workbookViewId="0" topLeftCell="A7">
      <selection activeCell="N14" sqref="N14"/>
    </sheetView>
  </sheetViews>
  <sheetFormatPr defaultColWidth="9.140625" defaultRowHeight="12.75"/>
  <cols>
    <col min="1" max="1" width="25.00390625" style="0" customWidth="1"/>
    <col min="2" max="2" width="11.28125" style="0" customWidth="1"/>
    <col min="3" max="3" width="12.57421875" style="0" customWidth="1"/>
    <col min="4" max="4" width="7.57421875" style="0" customWidth="1"/>
    <col min="5" max="5" width="16.28125" style="0" customWidth="1"/>
    <col min="6" max="6" width="12.00390625" style="0" bestFit="1" customWidth="1"/>
    <col min="7" max="8" width="9.28125" style="0" customWidth="1"/>
    <col min="9" max="9" width="8.421875" style="0" customWidth="1"/>
    <col min="10" max="10" width="11.8515625" style="0" customWidth="1"/>
    <col min="11" max="11" width="8.421875" style="0" customWidth="1"/>
    <col min="12" max="12" width="9.421875" style="0" customWidth="1"/>
    <col min="13" max="13" width="7.57421875" style="0" customWidth="1"/>
    <col min="14" max="14" width="12.140625" style="0" customWidth="1"/>
    <col min="15" max="15" width="10.421875" style="0" customWidth="1"/>
  </cols>
  <sheetData>
    <row r="1" ht="13.5" thickBot="1">
      <c r="A1" s="1" t="s">
        <v>110</v>
      </c>
    </row>
    <row r="2" spans="1:7" ht="12.75">
      <c r="A2" s="52" t="s">
        <v>41</v>
      </c>
      <c r="B2" s="53"/>
      <c r="C2" s="53"/>
      <c r="D2" s="53"/>
      <c r="E2" s="54" t="s">
        <v>42</v>
      </c>
      <c r="F2" s="53"/>
      <c r="G2" s="55"/>
    </row>
    <row r="3" spans="1:7" ht="12.75">
      <c r="A3" s="80"/>
      <c r="B3" s="14"/>
      <c r="C3" s="14"/>
      <c r="D3" s="14"/>
      <c r="E3" s="79" t="s">
        <v>43</v>
      </c>
      <c r="F3" s="14"/>
      <c r="G3" s="81"/>
    </row>
    <row r="4" spans="1:7" ht="13.5" thickBot="1">
      <c r="A4" s="56"/>
      <c r="B4" s="28"/>
      <c r="C4" s="28"/>
      <c r="D4" s="28"/>
      <c r="E4" s="28"/>
      <c r="F4" s="28"/>
      <c r="G4" s="57"/>
    </row>
    <row r="7" spans="1:17" ht="13.5" thickBot="1">
      <c r="A7" s="37" t="s">
        <v>47</v>
      </c>
      <c r="B7" s="38"/>
      <c r="C7" s="38"/>
      <c r="D7" s="38"/>
      <c r="E7" s="38"/>
      <c r="F7" s="38"/>
      <c r="G7" s="38"/>
      <c r="I7" s="37" t="s">
        <v>30</v>
      </c>
      <c r="J7" s="28"/>
      <c r="K7" s="28"/>
      <c r="L7" s="28"/>
      <c r="M7" s="28"/>
      <c r="N7" s="28"/>
      <c r="O7" s="28"/>
      <c r="P7" s="28"/>
      <c r="Q7" s="28"/>
    </row>
    <row r="8" spans="1:18" ht="12.75">
      <c r="A8" s="1"/>
      <c r="B8" s="2"/>
      <c r="C8" s="2"/>
      <c r="D8" s="2"/>
      <c r="E8" s="2"/>
      <c r="F8" s="2"/>
      <c r="G8" s="124"/>
      <c r="I8" s="27"/>
      <c r="J8" s="14"/>
      <c r="K8" s="14"/>
      <c r="L8" s="14"/>
      <c r="M8" s="14"/>
      <c r="N8" s="14"/>
      <c r="O8" s="14"/>
      <c r="R8" s="14"/>
    </row>
    <row r="9" spans="1:12" ht="12.75">
      <c r="A9" s="1" t="s">
        <v>8</v>
      </c>
      <c r="B9" s="2"/>
      <c r="C9" s="2"/>
      <c r="D9" s="2"/>
      <c r="E9" s="1" t="s">
        <v>40</v>
      </c>
      <c r="F9" s="2"/>
      <c r="G9" s="16"/>
      <c r="H9" s="2"/>
      <c r="I9" s="1" t="s">
        <v>58</v>
      </c>
      <c r="L9" s="14"/>
    </row>
    <row r="10" spans="1:12" ht="12.75">
      <c r="A10" s="2"/>
      <c r="B10" s="2"/>
      <c r="C10" s="2"/>
      <c r="D10" s="2"/>
      <c r="E10" s="2"/>
      <c r="F10" s="2"/>
      <c r="G10" s="16"/>
      <c r="H10" s="2"/>
      <c r="I10" s="1"/>
      <c r="L10" s="14"/>
    </row>
    <row r="11" spans="1:12" ht="12.75">
      <c r="A11" s="17" t="s">
        <v>17</v>
      </c>
      <c r="B11" s="70">
        <v>299.92</v>
      </c>
      <c r="C11" s="18" t="s">
        <v>38</v>
      </c>
      <c r="D11" s="2"/>
      <c r="E11" s="68" t="s">
        <v>51</v>
      </c>
      <c r="G11" s="14"/>
      <c r="H11" s="2"/>
      <c r="I11" s="127" t="s">
        <v>111</v>
      </c>
      <c r="J11" s="27"/>
      <c r="K11" s="27"/>
      <c r="L11" s="1"/>
    </row>
    <row r="12" spans="1:17" ht="14.25">
      <c r="A12" s="17" t="s">
        <v>50</v>
      </c>
      <c r="B12" s="70">
        <v>45</v>
      </c>
      <c r="C12" s="18" t="s">
        <v>38</v>
      </c>
      <c r="D12" s="2"/>
      <c r="E12" s="76" t="s">
        <v>48</v>
      </c>
      <c r="F12" s="58">
        <v>60</v>
      </c>
      <c r="G12" s="23" t="s">
        <v>38</v>
      </c>
      <c r="H12" s="16"/>
      <c r="I12" s="48" t="s">
        <v>86</v>
      </c>
      <c r="J12" s="48" t="s">
        <v>82</v>
      </c>
      <c r="K12" s="48" t="s">
        <v>121</v>
      </c>
      <c r="L12" s="48" t="s">
        <v>1</v>
      </c>
      <c r="M12" s="48" t="s">
        <v>89</v>
      </c>
      <c r="N12" s="128" t="s">
        <v>91</v>
      </c>
      <c r="O12" s="128" t="s">
        <v>92</v>
      </c>
      <c r="P12" s="128" t="s">
        <v>90</v>
      </c>
      <c r="Q12" s="48" t="s">
        <v>93</v>
      </c>
    </row>
    <row r="13" spans="1:17" ht="12.75">
      <c r="A13" s="17" t="s">
        <v>18</v>
      </c>
      <c r="B13" s="21">
        <v>87</v>
      </c>
      <c r="C13" s="18" t="s">
        <v>7</v>
      </c>
      <c r="D13" s="2"/>
      <c r="E13" s="20" t="s">
        <v>49</v>
      </c>
      <c r="F13" s="45">
        <v>20</v>
      </c>
      <c r="G13" s="18" t="s">
        <v>38</v>
      </c>
      <c r="H13" s="16"/>
      <c r="I13" s="49" t="s">
        <v>38</v>
      </c>
      <c r="J13" s="49" t="s">
        <v>4</v>
      </c>
      <c r="K13" s="49" t="s">
        <v>2</v>
      </c>
      <c r="L13" s="49"/>
      <c r="M13" s="49"/>
      <c r="N13" s="49" t="s">
        <v>38</v>
      </c>
      <c r="O13" s="49" t="s">
        <v>38</v>
      </c>
      <c r="P13" s="49" t="s">
        <v>38</v>
      </c>
      <c r="Q13" s="49" t="s">
        <v>38</v>
      </c>
    </row>
    <row r="14" spans="1:17" ht="12.75">
      <c r="A14" s="17" t="s">
        <v>74</v>
      </c>
      <c r="B14" s="21">
        <v>3292</v>
      </c>
      <c r="C14" s="18" t="s">
        <v>0</v>
      </c>
      <c r="D14" s="2"/>
      <c r="E14" s="77"/>
      <c r="G14" s="14"/>
      <c r="H14" s="16"/>
      <c r="I14" s="51">
        <v>284.4079246097565</v>
      </c>
      <c r="J14" s="51">
        <f>J*(Pr-I14)</f>
        <v>0.006473437253554867</v>
      </c>
      <c r="K14" s="121">
        <f>$J$14/A</f>
        <v>0.5723775209436001</v>
      </c>
      <c r="L14" s="50">
        <f>(r_m*D*$K$14)/my_m</f>
        <v>65843.19507063252</v>
      </c>
      <c r="M14" s="51">
        <f>1/(-1.8*LOG(6.9/$L$14+(e/(3.7*D))^1.11))^2</f>
        <v>0.019521997530548243</v>
      </c>
      <c r="N14" s="122">
        <f>0.5*$M$14*r_m*$K$14^2*($B$14/D)*0.00001</f>
        <v>0.8628442701052954</v>
      </c>
      <c r="O14" s="50">
        <f>r_m*g*(TVD)*0.00001</f>
        <v>223.54508002104012</v>
      </c>
      <c r="P14" s="51">
        <f>(N14+O14)</f>
        <v>224.4079242911454</v>
      </c>
      <c r="Q14" s="50">
        <f>I14-P14</f>
        <v>60.000000318611086</v>
      </c>
    </row>
    <row r="15" spans="1:15" ht="12.75">
      <c r="A15" s="17" t="s">
        <v>6</v>
      </c>
      <c r="B15" s="21">
        <v>2316.87</v>
      </c>
      <c r="C15" s="18" t="s">
        <v>0</v>
      </c>
      <c r="D15" s="2"/>
      <c r="E15" s="78" t="s">
        <v>43</v>
      </c>
      <c r="G15" s="14"/>
      <c r="H15" s="2"/>
      <c r="M15" s="14"/>
      <c r="N15" s="14"/>
      <c r="O15" s="14"/>
    </row>
    <row r="16" spans="1:12" ht="12.75">
      <c r="A16" s="17" t="s">
        <v>19</v>
      </c>
      <c r="B16" s="71">
        <v>0.000417316</v>
      </c>
      <c r="C16" s="19" t="s">
        <v>46</v>
      </c>
      <c r="D16" s="2"/>
      <c r="E16" s="20" t="s">
        <v>36</v>
      </c>
      <c r="F16" s="61">
        <v>100</v>
      </c>
      <c r="G16" s="18" t="s">
        <v>38</v>
      </c>
      <c r="H16" s="44"/>
      <c r="I16" s="135" t="s">
        <v>99</v>
      </c>
      <c r="J16" s="136"/>
      <c r="K16" s="136"/>
      <c r="L16" s="3"/>
    </row>
    <row r="17" spans="1:17" ht="14.25">
      <c r="A17" s="2"/>
      <c r="B17" s="2"/>
      <c r="C17" s="2"/>
      <c r="D17" s="2"/>
      <c r="E17" s="43" t="s">
        <v>37</v>
      </c>
      <c r="F17" s="59">
        <v>299</v>
      </c>
      <c r="G17" s="60" t="s">
        <v>38</v>
      </c>
      <c r="H17" s="2"/>
      <c r="I17" s="48" t="s">
        <v>86</v>
      </c>
      <c r="J17" s="48" t="s">
        <v>82</v>
      </c>
      <c r="K17" s="48" t="s">
        <v>103</v>
      </c>
      <c r="L17" s="48" t="s">
        <v>1</v>
      </c>
      <c r="M17" s="48" t="s">
        <v>89</v>
      </c>
      <c r="N17" s="128" t="s">
        <v>91</v>
      </c>
      <c r="O17" s="128" t="s">
        <v>92</v>
      </c>
      <c r="P17" s="128" t="s">
        <v>90</v>
      </c>
      <c r="Q17" s="48" t="s">
        <v>94</v>
      </c>
    </row>
    <row r="18" spans="1:17" ht="12.75">
      <c r="A18" s="1" t="s">
        <v>9</v>
      </c>
      <c r="B18" s="2"/>
      <c r="C18" s="2"/>
      <c r="D18" s="2"/>
      <c r="E18" s="2"/>
      <c r="F18" s="1"/>
      <c r="G18" s="16"/>
      <c r="H18" s="2"/>
      <c r="I18" s="49" t="s">
        <v>38</v>
      </c>
      <c r="J18" s="49" t="s">
        <v>4</v>
      </c>
      <c r="K18" s="49" t="s">
        <v>2</v>
      </c>
      <c r="L18" s="49"/>
      <c r="M18" s="49"/>
      <c r="N18" s="49" t="s">
        <v>38</v>
      </c>
      <c r="O18" s="49" t="s">
        <v>38</v>
      </c>
      <c r="P18" s="49" t="s">
        <v>38</v>
      </c>
      <c r="Q18" s="49" t="s">
        <v>38</v>
      </c>
    </row>
    <row r="19" spans="1:17" ht="12.75">
      <c r="A19" s="1"/>
      <c r="B19" s="2"/>
      <c r="C19" s="2"/>
      <c r="D19" s="2"/>
      <c r="E19" s="1" t="s">
        <v>11</v>
      </c>
      <c r="G19" s="14"/>
      <c r="H19" s="2"/>
      <c r="I19" s="143">
        <v>266.8446466574364</v>
      </c>
      <c r="J19" s="51">
        <f>Qo+Qw</f>
        <v>0.013802874155505285</v>
      </c>
      <c r="K19" s="121">
        <f>Q/A</f>
        <v>1.2204420281800203</v>
      </c>
      <c r="L19" s="50">
        <f>(r_m*D*U)/my_m</f>
        <v>140393.0091478446</v>
      </c>
      <c r="M19" s="51">
        <f>1/(-1.8*LOG(6.9/Re+(e/(3.7*D))^1.11))^2</f>
        <v>0.016683891426099707</v>
      </c>
      <c r="N19" s="122">
        <f>0.5*fmA*r_m*U^2*(Lbsep/D)*0.00001</f>
        <v>0.8024926863546096</v>
      </c>
      <c r="O19" s="50">
        <f>r_m*g*(TVD-TVD_asep)*0.00001</f>
        <v>56.48086381312565</v>
      </c>
      <c r="P19" s="51">
        <f>(N19+O19)</f>
        <v>57.28335649948026</v>
      </c>
      <c r="Q19" s="50">
        <f>I19-P19</f>
        <v>209.56129015795614</v>
      </c>
    </row>
    <row r="20" spans="1:17" ht="12.75">
      <c r="A20" s="20" t="s">
        <v>52</v>
      </c>
      <c r="B20" s="21">
        <v>1731.49</v>
      </c>
      <c r="C20" s="18" t="s">
        <v>0</v>
      </c>
      <c r="D20" s="2"/>
      <c r="E20" s="1"/>
      <c r="G20" s="14"/>
      <c r="H20" s="16"/>
      <c r="I20" s="4"/>
      <c r="J20" s="4"/>
      <c r="K20" s="4"/>
      <c r="L20" s="47"/>
      <c r="M20" s="47"/>
      <c r="N20" s="47"/>
      <c r="O20" s="47"/>
      <c r="P20" s="47"/>
      <c r="Q20" s="47"/>
    </row>
    <row r="21" spans="1:17" ht="12.75">
      <c r="A21" s="20" t="s">
        <v>100</v>
      </c>
      <c r="B21" s="21">
        <v>788</v>
      </c>
      <c r="C21" s="19" t="s">
        <v>0</v>
      </c>
      <c r="D21" s="2"/>
      <c r="E21" s="15"/>
      <c r="F21" s="72" t="s">
        <v>12</v>
      </c>
      <c r="G21" s="72" t="s">
        <v>13</v>
      </c>
      <c r="H21" s="34"/>
      <c r="I21" s="137" t="s">
        <v>97</v>
      </c>
      <c r="J21" s="138"/>
      <c r="K21" s="138"/>
      <c r="L21" s="139"/>
      <c r="M21" s="47"/>
      <c r="N21" s="47"/>
      <c r="O21" s="47"/>
      <c r="P21" s="47"/>
      <c r="Q21" s="47"/>
    </row>
    <row r="22" spans="1:17" ht="14.25">
      <c r="A22" s="2"/>
      <c r="B22" s="16"/>
      <c r="C22" s="2"/>
      <c r="D22" s="2"/>
      <c r="E22" s="17" t="s">
        <v>14</v>
      </c>
      <c r="F22" s="73">
        <f>0.881*999</f>
        <v>880.119</v>
      </c>
      <c r="G22" s="75">
        <v>999</v>
      </c>
      <c r="H22" s="46"/>
      <c r="I22" s="48" t="s">
        <v>87</v>
      </c>
      <c r="J22" s="48" t="s">
        <v>83</v>
      </c>
      <c r="K22" s="48" t="s">
        <v>104</v>
      </c>
      <c r="L22" s="48" t="s">
        <v>1</v>
      </c>
      <c r="M22" s="48" t="s">
        <v>89</v>
      </c>
      <c r="N22" s="128" t="s">
        <v>91</v>
      </c>
      <c r="O22" s="128" t="s">
        <v>92</v>
      </c>
      <c r="P22" s="128" t="s">
        <v>90</v>
      </c>
      <c r="Q22" s="48" t="s">
        <v>95</v>
      </c>
    </row>
    <row r="23" spans="1:17" ht="14.25" customHeight="1">
      <c r="A23" s="1" t="s">
        <v>10</v>
      </c>
      <c r="B23" s="2"/>
      <c r="C23" s="2"/>
      <c r="D23" s="2"/>
      <c r="E23" s="17" t="s">
        <v>15</v>
      </c>
      <c r="F23" s="74">
        <v>0.0012</v>
      </c>
      <c r="G23" s="74">
        <v>0.001</v>
      </c>
      <c r="H23" s="2"/>
      <c r="I23" s="49" t="s">
        <v>38</v>
      </c>
      <c r="J23" s="49" t="s">
        <v>4</v>
      </c>
      <c r="K23" s="49" t="s">
        <v>2</v>
      </c>
      <c r="L23" s="49"/>
      <c r="M23" s="49"/>
      <c r="N23" s="49" t="s">
        <v>38</v>
      </c>
      <c r="O23" s="49" t="s">
        <v>38</v>
      </c>
      <c r="P23" s="49" t="s">
        <v>38</v>
      </c>
      <c r="Q23" s="49" t="s">
        <v>38</v>
      </c>
    </row>
    <row r="24" spans="1:17" ht="14.25" customHeight="1">
      <c r="A24" s="1"/>
      <c r="B24" s="2"/>
      <c r="C24" s="2"/>
      <c r="D24" s="2"/>
      <c r="E24" s="13"/>
      <c r="F24" s="2"/>
      <c r="G24" s="16"/>
      <c r="H24" s="16"/>
      <c r="I24" s="143">
        <v>60</v>
      </c>
      <c r="J24" s="122">
        <f>J*(Pr-I19)*(1-(wc/100))</f>
        <v>0.001794373640215687</v>
      </c>
      <c r="K24" s="121">
        <f>Qo/Ao</f>
        <v>0.15865746366340264</v>
      </c>
      <c r="L24" s="50">
        <f>(r_o*Do*uo)/my_o</f>
        <v>13963.744826197026</v>
      </c>
      <c r="M24" s="51">
        <f>1/(-1.8*LOG(6.9/ReB+(e/(3.7*Do))^1.11))^2</f>
        <v>0.028249067446676462</v>
      </c>
      <c r="N24" s="67">
        <f>0.5*fmB*r_o*uo^2*(Lo/Do)*0.00001</f>
        <v>0.06529645587832633</v>
      </c>
      <c r="O24" s="50">
        <f>r_o*g*TVD_asep*0.00001</f>
        <v>149.49628196111104</v>
      </c>
      <c r="P24" s="50">
        <f>(N24+O24)</f>
        <v>149.56157841698936</v>
      </c>
      <c r="Q24" s="50">
        <f>I24+P24</f>
        <v>209.56157841698936</v>
      </c>
    </row>
    <row r="25" spans="1:17" ht="12.75">
      <c r="A25" s="20" t="s">
        <v>101</v>
      </c>
      <c r="B25" s="22">
        <v>2504</v>
      </c>
      <c r="C25" s="23" t="s">
        <v>0</v>
      </c>
      <c r="D25" s="2"/>
      <c r="E25" s="20" t="s">
        <v>16</v>
      </c>
      <c r="F25" s="69">
        <v>9.81</v>
      </c>
      <c r="G25" s="18" t="s">
        <v>5</v>
      </c>
      <c r="H25" s="2"/>
      <c r="I25" s="4"/>
      <c r="J25" s="4"/>
      <c r="K25" s="4"/>
      <c r="L25" s="47"/>
      <c r="M25" s="47"/>
      <c r="N25" s="47"/>
      <c r="O25" s="47"/>
      <c r="P25" s="47"/>
      <c r="Q25" s="47"/>
    </row>
    <row r="26" spans="1:17" ht="12.75">
      <c r="A26" s="20" t="s">
        <v>102</v>
      </c>
      <c r="B26" s="21">
        <v>2504</v>
      </c>
      <c r="C26" s="18" t="s">
        <v>0</v>
      </c>
      <c r="D26" s="2"/>
      <c r="E26" s="2"/>
      <c r="F26" s="2"/>
      <c r="G26" s="16"/>
      <c r="H26" s="2"/>
      <c r="I26" s="140" t="s">
        <v>98</v>
      </c>
      <c r="J26" s="141"/>
      <c r="K26" s="141"/>
      <c r="L26" s="142"/>
      <c r="M26" s="47"/>
      <c r="N26" s="47"/>
      <c r="O26" s="47"/>
      <c r="P26" s="47"/>
      <c r="Q26" s="47"/>
    </row>
    <row r="27" spans="1:17" ht="14.25">
      <c r="A27" s="20" t="s">
        <v>78</v>
      </c>
      <c r="B27" s="24">
        <v>0.12</v>
      </c>
      <c r="C27" s="25" t="s">
        <v>0</v>
      </c>
      <c r="D27" s="2"/>
      <c r="E27" s="68" t="s">
        <v>59</v>
      </c>
      <c r="F27" s="2"/>
      <c r="G27" s="16"/>
      <c r="H27" s="2"/>
      <c r="I27" s="48" t="s">
        <v>88</v>
      </c>
      <c r="J27" s="48" t="s">
        <v>85</v>
      </c>
      <c r="K27" s="48" t="s">
        <v>105</v>
      </c>
      <c r="L27" s="48" t="s">
        <v>1</v>
      </c>
      <c r="M27" s="48" t="s">
        <v>89</v>
      </c>
      <c r="N27" s="128" t="s">
        <v>91</v>
      </c>
      <c r="O27" s="128" t="s">
        <v>92</v>
      </c>
      <c r="P27" s="128" t="s">
        <v>90</v>
      </c>
      <c r="Q27" s="48" t="s">
        <v>96</v>
      </c>
    </row>
    <row r="28" spans="1:17" ht="12.75">
      <c r="A28" s="20" t="s">
        <v>21</v>
      </c>
      <c r="B28" s="21">
        <v>0.12</v>
      </c>
      <c r="C28" s="18" t="s">
        <v>0</v>
      </c>
      <c r="D28" s="2"/>
      <c r="E28" s="2"/>
      <c r="F28" s="2"/>
      <c r="G28" s="16"/>
      <c r="H28" s="2"/>
      <c r="I28" s="49" t="s">
        <v>38</v>
      </c>
      <c r="J28" s="49" t="s">
        <v>4</v>
      </c>
      <c r="K28" s="49" t="s">
        <v>2</v>
      </c>
      <c r="L28" s="49"/>
      <c r="M28" s="49"/>
      <c r="N28" s="49" t="s">
        <v>38</v>
      </c>
      <c r="O28" s="49" t="s">
        <v>38</v>
      </c>
      <c r="P28" s="49" t="s">
        <v>38</v>
      </c>
      <c r="Q28" s="49" t="s">
        <v>38</v>
      </c>
    </row>
    <row r="29" spans="1:17" ht="12.75">
      <c r="A29" s="20" t="s">
        <v>22</v>
      </c>
      <c r="B29" s="21">
        <v>0.08</v>
      </c>
      <c r="C29" s="18" t="s">
        <v>0</v>
      </c>
      <c r="D29" s="2"/>
      <c r="E29" s="2"/>
      <c r="F29" s="2"/>
      <c r="G29" s="16"/>
      <c r="H29" s="2"/>
      <c r="I29" s="143">
        <v>25.816401594935844</v>
      </c>
      <c r="J29" s="51">
        <f>J*(Pr-I19)*(wc/100)</f>
        <v>0.012008500515289598</v>
      </c>
      <c r="K29" s="121">
        <f>Qw/Aw</f>
        <v>2.38901527016239</v>
      </c>
      <c r="L29" s="50">
        <f>(r_w*Dw*uw)/my_w</f>
        <v>190930.1003913782</v>
      </c>
      <c r="M29" s="51">
        <f>1/(-1.8*LOG(6.9/ReC+(e/(3.7*Dw))^1.11))^2</f>
        <v>0.01575277075656772</v>
      </c>
      <c r="N29" s="67">
        <f>0.5*fmC*r_w*uw^2*(Lw/Dw)*0.00001</f>
        <v>14.056417061831556</v>
      </c>
      <c r="O29" s="67">
        <f>r_w*g*TVD_asep*0.00001</f>
        <v>169.68930983100003</v>
      </c>
      <c r="P29" s="50">
        <f>(N29+O29)</f>
        <v>183.74572689283158</v>
      </c>
      <c r="Q29" s="50">
        <f>I29+P29</f>
        <v>209.56212848776744</v>
      </c>
    </row>
    <row r="30" spans="1:8" ht="12.75">
      <c r="A30" s="2"/>
      <c r="B30" s="2"/>
      <c r="C30" s="2"/>
      <c r="D30" s="2"/>
      <c r="E30" s="2"/>
      <c r="G30" s="14"/>
      <c r="H30" s="2"/>
    </row>
    <row r="31" spans="1:17" ht="13.5" thickBot="1">
      <c r="A31" s="20" t="s">
        <v>23</v>
      </c>
      <c r="B31" s="26">
        <f>0.0000015</f>
        <v>1.5E-06</v>
      </c>
      <c r="C31" s="18" t="s">
        <v>0</v>
      </c>
      <c r="E31" s="2"/>
      <c r="G31" s="14"/>
      <c r="I31" s="37" t="s">
        <v>77</v>
      </c>
      <c r="J31" s="37"/>
      <c r="K31" s="28"/>
      <c r="O31" s="40" t="s">
        <v>31</v>
      </c>
      <c r="P31" s="40"/>
      <c r="Q31" s="87">
        <f>(Q19+Q24+Q29)/3</f>
        <v>209.56166568757098</v>
      </c>
    </row>
    <row r="32" spans="7:11" ht="12.75">
      <c r="G32" s="14"/>
      <c r="K32" s="88"/>
    </row>
    <row r="33" spans="7:15" ht="12.75">
      <c r="G33" s="14"/>
      <c r="I33" s="85" t="s">
        <v>57</v>
      </c>
      <c r="J33" s="61"/>
      <c r="K33" s="95">
        <f>Qo</f>
        <v>0.001794373640215687</v>
      </c>
      <c r="L33" s="86" t="s">
        <v>4</v>
      </c>
      <c r="O33" s="1" t="s">
        <v>32</v>
      </c>
    </row>
    <row r="34" spans="7:17" ht="12.75">
      <c r="G34" s="14"/>
      <c r="I34" s="123" t="s">
        <v>76</v>
      </c>
      <c r="J34" s="40"/>
      <c r="K34" s="95">
        <f>J14*(1-wc/100)</f>
        <v>0.0008415468429621327</v>
      </c>
      <c r="L34" s="86" t="s">
        <v>4</v>
      </c>
      <c r="O34" s="5" t="s">
        <v>33</v>
      </c>
      <c r="P34" s="6"/>
      <c r="Q34" s="7">
        <f>(Q19-Q31)^2</f>
        <v>1.4102249162387832E-07</v>
      </c>
    </row>
    <row r="35" spans="1:17" ht="13.5" thickBot="1">
      <c r="A35" s="12"/>
      <c r="G35" s="14"/>
      <c r="H35" s="14"/>
      <c r="O35" s="42" t="s">
        <v>34</v>
      </c>
      <c r="P35" s="41"/>
      <c r="Q35" s="39">
        <f>(Q24-Q31)^2</f>
        <v>7.616154415663745E-09</v>
      </c>
    </row>
    <row r="36" spans="1:17" ht="13.5" thickBot="1">
      <c r="A36" s="37" t="s">
        <v>29</v>
      </c>
      <c r="B36" s="28"/>
      <c r="C36" s="28"/>
      <c r="D36" s="28"/>
      <c r="E36" s="28"/>
      <c r="F36" s="28"/>
      <c r="G36" s="28"/>
      <c r="I36" s="129" t="s">
        <v>75</v>
      </c>
      <c r="J36" s="130"/>
      <c r="K36" s="131">
        <f>(($K$33-$K$34)/$K$34)*100</f>
        <v>113.22326323508398</v>
      </c>
      <c r="L36" s="132" t="s">
        <v>7</v>
      </c>
      <c r="O36" s="9" t="s">
        <v>35</v>
      </c>
      <c r="P36" s="10"/>
      <c r="Q36" s="11">
        <f>(Q29-Q31)^2</f>
        <v>2.1418402184254145E-07</v>
      </c>
    </row>
    <row r="37" spans="1:17" ht="12.75">
      <c r="A37" s="1"/>
      <c r="G37" s="14"/>
      <c r="O37" s="8"/>
      <c r="P37" s="8"/>
      <c r="Q37" s="8"/>
    </row>
    <row r="38" spans="1:17" ht="12.75">
      <c r="A38" s="1" t="s">
        <v>28</v>
      </c>
      <c r="E38" s="1" t="s">
        <v>27</v>
      </c>
      <c r="G38" s="14"/>
      <c r="O38" s="41"/>
      <c r="P38" s="41"/>
      <c r="Q38" s="41">
        <f>SUM(Q34:Q37)</f>
        <v>3.628226678820835E-07</v>
      </c>
    </row>
    <row r="39" spans="1:15" ht="12.75">
      <c r="A39" s="1"/>
      <c r="G39" s="14"/>
      <c r="H39" s="14"/>
      <c r="O39" s="14"/>
    </row>
    <row r="40" spans="1:8" ht="12.75">
      <c r="A40" s="29" t="s">
        <v>24</v>
      </c>
      <c r="B40" s="30">
        <f>PI()*(B27/2)^2</f>
        <v>0.011309733552923255</v>
      </c>
      <c r="C40" s="31" t="s">
        <v>3</v>
      </c>
      <c r="E40" s="35" t="s">
        <v>14</v>
      </c>
      <c r="F40" s="36">
        <f>(r_o*(1-wc/100)+r_w*(B13/100))</f>
        <v>983.54547</v>
      </c>
      <c r="G40" s="14"/>
      <c r="H40" s="34"/>
    </row>
    <row r="41" spans="1:7" ht="12.75">
      <c r="A41" s="29" t="s">
        <v>25</v>
      </c>
      <c r="B41" s="30">
        <f>PI()*(B28/2)^2</f>
        <v>0.011309733552923255</v>
      </c>
      <c r="C41" s="31" t="s">
        <v>3</v>
      </c>
      <c r="E41" s="35" t="s">
        <v>15</v>
      </c>
      <c r="F41" s="36">
        <f>(my_o*(1-wc/100)+my_w*(B13/100))</f>
        <v>0.001026</v>
      </c>
      <c r="G41" s="34"/>
    </row>
    <row r="42" spans="1:7" ht="12.75">
      <c r="A42" s="29" t="s">
        <v>26</v>
      </c>
      <c r="B42" s="32">
        <f>PI()*('Data and Calculations'!B29/2)^2</f>
        <v>0.005026548245743669</v>
      </c>
      <c r="C42" s="33" t="s">
        <v>3</v>
      </c>
      <c r="G42" s="14"/>
    </row>
    <row r="43" ht="12.75">
      <c r="G43" s="14"/>
    </row>
    <row r="44" ht="12.75">
      <c r="G44" s="14"/>
    </row>
    <row r="45" spans="7:14" ht="12.75">
      <c r="G45" s="14"/>
      <c r="N45" s="126"/>
    </row>
    <row r="46" ht="12.75">
      <c r="G46" s="14"/>
    </row>
    <row r="47" ht="12.75">
      <c r="G47" s="14"/>
    </row>
    <row r="48" ht="12.75">
      <c r="G48" s="14"/>
    </row>
    <row r="52" ht="12.75">
      <c r="C52" s="3"/>
    </row>
  </sheetData>
  <printOptions/>
  <pageMargins left="0.7480314960629921" right="0.3937007874015748" top="0.984251968503937" bottom="0.3937007874015748" header="0.5118110236220472" footer="0.5118110236220472"/>
  <pageSetup horizontalDpi="600" verticalDpi="600" orientation="portrait" scale="94" r:id="rId2"/>
  <colBreaks count="1" manualBreakCount="1">
    <brk id="7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B2:H44"/>
  <sheetViews>
    <sheetView showGridLines="0" workbookViewId="0" topLeftCell="A1">
      <selection activeCell="G30" sqref="G30"/>
    </sheetView>
  </sheetViews>
  <sheetFormatPr defaultColWidth="9.140625" defaultRowHeight="12.75"/>
  <cols>
    <col min="1" max="1" width="9.140625" style="100" customWidth="1"/>
    <col min="2" max="2" width="11.00390625" style="100" customWidth="1"/>
    <col min="3" max="3" width="12.7109375" style="100" customWidth="1"/>
    <col min="4" max="4" width="29.8515625" style="100" customWidth="1"/>
    <col min="5" max="16384" width="9.140625" style="100" customWidth="1"/>
  </cols>
  <sheetData>
    <row r="1" ht="13.5" thickBot="1"/>
    <row r="2" spans="2:4" ht="12.75">
      <c r="B2" s="114" t="s">
        <v>60</v>
      </c>
      <c r="C2" s="115" t="s">
        <v>61</v>
      </c>
      <c r="D2" s="116" t="s">
        <v>20</v>
      </c>
    </row>
    <row r="3" spans="2:4" ht="13.5" thickBot="1">
      <c r="B3" s="117" t="s">
        <v>0</v>
      </c>
      <c r="C3" s="102" t="s">
        <v>0</v>
      </c>
      <c r="D3" s="118" t="s">
        <v>0</v>
      </c>
    </row>
    <row r="4" spans="2:8" ht="12.75">
      <c r="B4" s="106"/>
      <c r="C4" s="119"/>
      <c r="D4" s="110"/>
      <c r="F4" s="103" t="s">
        <v>62</v>
      </c>
      <c r="H4" s="101">
        <f>COUNTA(B4:B44)</f>
        <v>0</v>
      </c>
    </row>
    <row r="5" spans="2:4" ht="12.75">
      <c r="B5" s="107"/>
      <c r="C5" s="104"/>
      <c r="D5" s="111"/>
    </row>
    <row r="6" spans="2:4" ht="12.75">
      <c r="B6" s="107"/>
      <c r="C6" s="104"/>
      <c r="D6" s="111"/>
    </row>
    <row r="7" spans="2:4" ht="12.75">
      <c r="B7" s="107"/>
      <c r="C7" s="104"/>
      <c r="D7" s="111"/>
    </row>
    <row r="8" spans="2:4" ht="12.75">
      <c r="B8" s="107"/>
      <c r="C8" s="104"/>
      <c r="D8" s="111"/>
    </row>
    <row r="9" spans="2:4" ht="12.75">
      <c r="B9" s="107"/>
      <c r="C9" s="104"/>
      <c r="D9" s="111"/>
    </row>
    <row r="10" spans="2:4" ht="12.75">
      <c r="B10" s="107"/>
      <c r="C10" s="104"/>
      <c r="D10" s="111"/>
    </row>
    <row r="11" spans="2:4" ht="12.75">
      <c r="B11" s="107"/>
      <c r="C11" s="104"/>
      <c r="D11" s="111"/>
    </row>
    <row r="12" spans="2:4" ht="12.75">
      <c r="B12" s="107"/>
      <c r="C12" s="104"/>
      <c r="D12" s="111"/>
    </row>
    <row r="13" spans="2:4" ht="12.75">
      <c r="B13" s="107"/>
      <c r="C13" s="104"/>
      <c r="D13" s="111"/>
    </row>
    <row r="14" spans="2:4" ht="12.75">
      <c r="B14" s="107"/>
      <c r="C14" s="104"/>
      <c r="D14" s="111"/>
    </row>
    <row r="15" spans="2:4" ht="12.75">
      <c r="B15" s="107"/>
      <c r="C15" s="104"/>
      <c r="D15" s="111"/>
    </row>
    <row r="16" spans="2:4" ht="12.75">
      <c r="B16" s="107"/>
      <c r="C16" s="104"/>
      <c r="D16" s="111"/>
    </row>
    <row r="17" spans="2:4" ht="12.75">
      <c r="B17" s="107"/>
      <c r="C17" s="104"/>
      <c r="D17" s="111"/>
    </row>
    <row r="18" spans="2:4" ht="12.75">
      <c r="B18" s="107"/>
      <c r="C18" s="104"/>
      <c r="D18" s="111"/>
    </row>
    <row r="19" spans="2:4" ht="12.75">
      <c r="B19" s="107"/>
      <c r="C19" s="104"/>
      <c r="D19" s="111"/>
    </row>
    <row r="20" spans="2:4" ht="12.75">
      <c r="B20" s="107"/>
      <c r="C20" s="104"/>
      <c r="D20" s="111"/>
    </row>
    <row r="21" spans="2:4" ht="12.75">
      <c r="B21" s="107"/>
      <c r="C21" s="104"/>
      <c r="D21" s="111"/>
    </row>
    <row r="22" spans="2:4" ht="12.75">
      <c r="B22" s="107"/>
      <c r="C22" s="104"/>
      <c r="D22" s="111"/>
    </row>
    <row r="23" spans="2:4" ht="12.75">
      <c r="B23" s="107"/>
      <c r="C23" s="104"/>
      <c r="D23" s="111"/>
    </row>
    <row r="24" spans="2:4" ht="12.75">
      <c r="B24" s="108"/>
      <c r="C24" s="105"/>
      <c r="D24" s="112"/>
    </row>
    <row r="25" spans="2:4" ht="12.75">
      <c r="B25" s="108"/>
      <c r="C25" s="105"/>
      <c r="D25" s="112"/>
    </row>
    <row r="26" spans="2:4" ht="12.75">
      <c r="B26" s="108"/>
      <c r="C26" s="105"/>
      <c r="D26" s="112"/>
    </row>
    <row r="27" spans="2:4" ht="12.75">
      <c r="B27" s="108"/>
      <c r="C27" s="105"/>
      <c r="D27" s="112"/>
    </row>
    <row r="28" spans="2:4" ht="12.75">
      <c r="B28" s="108"/>
      <c r="C28" s="105"/>
      <c r="D28" s="112"/>
    </row>
    <row r="29" spans="2:4" ht="12.75">
      <c r="B29" s="108"/>
      <c r="C29" s="105"/>
      <c r="D29" s="112"/>
    </row>
    <row r="30" spans="2:4" ht="12.75">
      <c r="B30" s="108"/>
      <c r="C30" s="105"/>
      <c r="D30" s="112"/>
    </row>
    <row r="31" spans="2:4" ht="12.75">
      <c r="B31" s="108"/>
      <c r="C31" s="105"/>
      <c r="D31" s="112"/>
    </row>
    <row r="32" spans="2:4" ht="12.75">
      <c r="B32" s="108"/>
      <c r="C32" s="105"/>
      <c r="D32" s="112"/>
    </row>
    <row r="33" spans="2:4" ht="12.75">
      <c r="B33" s="108"/>
      <c r="C33" s="105"/>
      <c r="D33" s="112"/>
    </row>
    <row r="34" spans="2:4" ht="12.75">
      <c r="B34" s="108"/>
      <c r="C34" s="105"/>
      <c r="D34" s="112"/>
    </row>
    <row r="35" spans="2:4" ht="12.75">
      <c r="B35" s="108"/>
      <c r="C35" s="105"/>
      <c r="D35" s="112"/>
    </row>
    <row r="36" spans="2:4" ht="12.75">
      <c r="B36" s="108"/>
      <c r="C36" s="105"/>
      <c r="D36" s="112"/>
    </row>
    <row r="37" spans="2:4" ht="12.75">
      <c r="B37" s="108"/>
      <c r="C37" s="105"/>
      <c r="D37" s="112"/>
    </row>
    <row r="38" spans="2:4" ht="12.75">
      <c r="B38" s="108"/>
      <c r="C38" s="105"/>
      <c r="D38" s="112"/>
    </row>
    <row r="39" spans="2:4" ht="12.75">
      <c r="B39" s="108"/>
      <c r="C39" s="105"/>
      <c r="D39" s="112"/>
    </row>
    <row r="40" spans="2:4" ht="12.75">
      <c r="B40" s="108"/>
      <c r="C40" s="105"/>
      <c r="D40" s="112"/>
    </row>
    <row r="41" spans="2:4" ht="12.75">
      <c r="B41" s="108"/>
      <c r="C41" s="105"/>
      <c r="D41" s="112"/>
    </row>
    <row r="42" spans="2:4" ht="12.75">
      <c r="B42" s="108"/>
      <c r="C42" s="105"/>
      <c r="D42" s="112"/>
    </row>
    <row r="43" spans="2:4" ht="12.75">
      <c r="B43" s="108"/>
      <c r="C43" s="105"/>
      <c r="D43" s="112"/>
    </row>
    <row r="44" spans="2:4" ht="13.5" thickBot="1">
      <c r="B44" s="109"/>
      <c r="C44" s="120"/>
      <c r="D44" s="1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B1:H100"/>
  <sheetViews>
    <sheetView showGridLines="0" workbookViewId="0" topLeftCell="A1">
      <selection activeCell="C7" sqref="C7"/>
    </sheetView>
  </sheetViews>
  <sheetFormatPr defaultColWidth="9.140625" defaultRowHeight="12.75"/>
  <cols>
    <col min="2" max="2" width="8.8515625" style="65" customWidth="1"/>
    <col min="3" max="3" width="12.57421875" style="65" customWidth="1"/>
    <col min="5" max="5" width="11.00390625" style="0" bestFit="1" customWidth="1"/>
    <col min="6" max="6" width="11.28125" style="0" bestFit="1" customWidth="1"/>
    <col min="7" max="7" width="12.00390625" style="0" bestFit="1" customWidth="1"/>
  </cols>
  <sheetData>
    <row r="1" spans="2:8" ht="12.75">
      <c r="B1"/>
      <c r="C1"/>
      <c r="G1" s="63"/>
      <c r="H1" s="62"/>
    </row>
    <row r="2" spans="2:7" ht="15.75">
      <c r="B2" s="64" t="s">
        <v>44</v>
      </c>
      <c r="C2" s="89" t="s">
        <v>117</v>
      </c>
      <c r="D2" s="64" t="s">
        <v>86</v>
      </c>
      <c r="E2" s="64" t="s">
        <v>87</v>
      </c>
      <c r="F2" s="64" t="s">
        <v>88</v>
      </c>
      <c r="G2" s="64" t="s">
        <v>115</v>
      </c>
    </row>
    <row r="3" spans="2:7" ht="13.5" thickBot="1">
      <c r="B3" s="28"/>
      <c r="C3" s="66" t="s">
        <v>0</v>
      </c>
      <c r="D3" s="66" t="s">
        <v>38</v>
      </c>
      <c r="E3" s="66" t="s">
        <v>38</v>
      </c>
      <c r="F3" s="66" t="s">
        <v>38</v>
      </c>
      <c r="G3" s="66" t="s">
        <v>38</v>
      </c>
    </row>
    <row r="4" spans="2:8" ht="12.75">
      <c r="B4"/>
      <c r="C4"/>
      <c r="H4" s="125"/>
    </row>
    <row r="5" spans="2:8" ht="12.75">
      <c r="B5"/>
      <c r="C5"/>
      <c r="H5" s="125"/>
    </row>
    <row r="6" spans="2:8" ht="12.75">
      <c r="B6"/>
      <c r="C6"/>
      <c r="H6" s="125"/>
    </row>
    <row r="7" spans="2:8" ht="12.75">
      <c r="B7"/>
      <c r="C7"/>
      <c r="H7" s="125"/>
    </row>
    <row r="8" spans="2:8" ht="12.75">
      <c r="B8"/>
      <c r="C8"/>
      <c r="H8" s="125"/>
    </row>
    <row r="9" spans="2:8" ht="12.75">
      <c r="B9"/>
      <c r="C9"/>
      <c r="H9" s="125"/>
    </row>
    <row r="10" spans="2:8" ht="12.75">
      <c r="B10"/>
      <c r="C10"/>
      <c r="H10" s="125"/>
    </row>
    <row r="11" spans="2:8" ht="12.75">
      <c r="B11"/>
      <c r="C11"/>
      <c r="H11" s="125"/>
    </row>
    <row r="12" spans="2:8" ht="12.75">
      <c r="B12"/>
      <c r="C12"/>
      <c r="H12" s="125"/>
    </row>
    <row r="13" spans="2:8" ht="12.75">
      <c r="B13"/>
      <c r="C13"/>
      <c r="H13" s="125"/>
    </row>
    <row r="14" spans="2:8" ht="12.75">
      <c r="B14"/>
      <c r="C14"/>
      <c r="H14" s="125"/>
    </row>
    <row r="15" spans="2:8" ht="12.75">
      <c r="B15"/>
      <c r="C15"/>
      <c r="H15" s="125"/>
    </row>
    <row r="16" spans="2:8" ht="12.75">
      <c r="B16"/>
      <c r="C16"/>
      <c r="H16" s="125"/>
    </row>
    <row r="17" spans="2:8" ht="12.75">
      <c r="B17"/>
      <c r="C17"/>
      <c r="H17" s="125"/>
    </row>
    <row r="18" spans="2:8" ht="12.75">
      <c r="B18"/>
      <c r="C18"/>
      <c r="H18" s="125"/>
    </row>
    <row r="19" spans="2:8" ht="12.75">
      <c r="B19"/>
      <c r="C19"/>
      <c r="H19" s="125"/>
    </row>
    <row r="20" spans="2:8" ht="12.75">
      <c r="B20"/>
      <c r="C20"/>
      <c r="H20" s="125"/>
    </row>
    <row r="21" spans="2:8" ht="12.75">
      <c r="B21"/>
      <c r="C21"/>
      <c r="H21" s="125"/>
    </row>
    <row r="22" spans="2:8" ht="12.75">
      <c r="B22"/>
      <c r="C22"/>
      <c r="H22" s="125"/>
    </row>
    <row r="23" spans="2:8" ht="12.75">
      <c r="B23"/>
      <c r="C23"/>
      <c r="H23" s="125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T3"/>
  <sheetViews>
    <sheetView showGridLines="0" workbookViewId="0" topLeftCell="A1">
      <selection activeCell="H20" sqref="H20"/>
    </sheetView>
  </sheetViews>
  <sheetFormatPr defaultColWidth="9.140625" defaultRowHeight="12.75"/>
  <cols>
    <col min="3" max="3" width="11.140625" style="0" customWidth="1"/>
    <col min="4" max="4" width="8.421875" style="0" customWidth="1"/>
    <col min="5" max="5" width="3.28125" style="0" customWidth="1"/>
    <col min="6" max="6" width="10.57421875" style="0" bestFit="1" customWidth="1"/>
    <col min="7" max="7" width="4.140625" style="0" customWidth="1"/>
    <col min="8" max="8" width="7.7109375" style="0" customWidth="1"/>
    <col min="9" max="9" width="8.421875" style="0" customWidth="1"/>
    <col min="10" max="10" width="10.57421875" style="0" bestFit="1" customWidth="1"/>
    <col min="12" max="12" width="5.00390625" style="0" customWidth="1"/>
    <col min="13" max="13" width="4.57421875" style="0" customWidth="1"/>
    <col min="14" max="14" width="11.140625" style="0" bestFit="1" customWidth="1"/>
    <col min="15" max="15" width="4.8515625" style="0" customWidth="1"/>
    <col min="16" max="16" width="6.421875" style="0" customWidth="1"/>
    <col min="18" max="18" width="14.7109375" style="0" bestFit="1" customWidth="1"/>
  </cols>
  <sheetData>
    <row r="2" spans="2:19" ht="14.25">
      <c r="B2" s="64" t="s">
        <v>56</v>
      </c>
      <c r="C2" s="89" t="s">
        <v>116</v>
      </c>
      <c r="D2" s="64"/>
      <c r="E2" s="64"/>
      <c r="F2" s="64" t="s">
        <v>79</v>
      </c>
      <c r="G2" s="64"/>
      <c r="H2" s="64"/>
      <c r="I2" s="64"/>
      <c r="J2" s="64" t="s">
        <v>80</v>
      </c>
      <c r="K2" s="64"/>
      <c r="L2" s="64"/>
      <c r="M2" s="82"/>
      <c r="N2" s="82" t="s">
        <v>81</v>
      </c>
      <c r="O2" s="82"/>
      <c r="Q2" s="64"/>
      <c r="S2" s="64"/>
    </row>
    <row r="3" spans="2:20" ht="13.5" thickBot="1">
      <c r="B3" s="66"/>
      <c r="C3" s="92" t="s">
        <v>0</v>
      </c>
      <c r="D3" s="84"/>
      <c r="E3" s="66"/>
      <c r="F3" s="94" t="s">
        <v>4</v>
      </c>
      <c r="G3" s="66"/>
      <c r="H3" s="84"/>
      <c r="I3" s="66"/>
      <c r="J3" s="94" t="s">
        <v>4</v>
      </c>
      <c r="K3" s="66"/>
      <c r="L3" s="84"/>
      <c r="M3" s="66"/>
      <c r="N3" s="94" t="s">
        <v>7</v>
      </c>
      <c r="O3" s="66"/>
      <c r="Q3" s="83"/>
      <c r="R3" s="14"/>
      <c r="S3" s="83"/>
      <c r="T3" s="1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2:S4"/>
  <sheetViews>
    <sheetView showGridLines="0" workbookViewId="0" topLeftCell="A1">
      <selection activeCell="H29" sqref="H29"/>
    </sheetView>
  </sheetViews>
  <sheetFormatPr defaultColWidth="9.140625" defaultRowHeight="12.75"/>
  <cols>
    <col min="1" max="1" width="7.00390625" style="0" customWidth="1"/>
    <col min="2" max="2" width="5.57421875" style="0" customWidth="1"/>
    <col min="3" max="3" width="4.57421875" style="0" customWidth="1"/>
    <col min="4" max="4" width="12.57421875" style="0" customWidth="1"/>
    <col min="5" max="5" width="5.421875" style="0" customWidth="1"/>
    <col min="6" max="6" width="13.00390625" style="0" customWidth="1"/>
    <col min="7" max="7" width="12.7109375" style="0" customWidth="1"/>
    <col min="8" max="8" width="11.140625" style="0" customWidth="1"/>
    <col min="9" max="9" width="8.28125" style="0" customWidth="1"/>
  </cols>
  <sheetData>
    <row r="2" spans="2:9" ht="12.75">
      <c r="B2" s="82"/>
      <c r="C2" s="82"/>
      <c r="D2" s="96" t="s">
        <v>45</v>
      </c>
      <c r="E2" s="82"/>
      <c r="F2" s="144" t="s">
        <v>63</v>
      </c>
      <c r="G2" s="144"/>
      <c r="H2" s="144"/>
      <c r="I2" s="144"/>
    </row>
    <row r="3" spans="2:17" ht="14.25">
      <c r="B3" s="82" t="s">
        <v>56</v>
      </c>
      <c r="C3" s="82"/>
      <c r="D3" s="89" t="s">
        <v>116</v>
      </c>
      <c r="E3" s="98"/>
      <c r="F3" s="64" t="s">
        <v>118</v>
      </c>
      <c r="G3" s="64" t="s">
        <v>119</v>
      </c>
      <c r="H3" s="64" t="s">
        <v>120</v>
      </c>
      <c r="I3" s="64" t="s">
        <v>122</v>
      </c>
      <c r="K3" s="64"/>
      <c r="L3" s="64"/>
      <c r="M3" s="64"/>
      <c r="N3" s="64"/>
      <c r="O3" s="64"/>
      <c r="P3" s="64"/>
      <c r="Q3" s="64"/>
    </row>
    <row r="4" spans="2:19" ht="13.5" thickBot="1">
      <c r="B4" s="66"/>
      <c r="C4" s="83"/>
      <c r="D4" s="92" t="s">
        <v>0</v>
      </c>
      <c r="E4" s="99"/>
      <c r="F4" s="66" t="s">
        <v>2</v>
      </c>
      <c r="G4" s="66" t="s">
        <v>2</v>
      </c>
      <c r="H4" s="66" t="s">
        <v>2</v>
      </c>
      <c r="I4" s="66" t="s">
        <v>2</v>
      </c>
      <c r="K4" s="83"/>
      <c r="L4" s="97"/>
      <c r="M4" s="83"/>
      <c r="N4" s="84"/>
      <c r="O4" s="83"/>
      <c r="P4" s="97"/>
      <c r="Q4" s="83"/>
      <c r="R4" s="14"/>
      <c r="S4" s="14"/>
    </row>
  </sheetData>
  <mergeCells count="1">
    <mergeCell ref="F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2:R4"/>
  <sheetViews>
    <sheetView showGridLines="0" workbookViewId="0" topLeftCell="A1">
      <selection activeCell="E31" sqref="E31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4.00390625" style="0" customWidth="1"/>
    <col min="8" max="8" width="4.00390625" style="0" customWidth="1"/>
    <col min="9" max="9" width="10.57421875" style="0" customWidth="1"/>
    <col min="13" max="13" width="4.140625" style="0" customWidth="1"/>
    <col min="14" max="14" width="8.57421875" style="0" customWidth="1"/>
    <col min="15" max="15" width="7.8515625" style="0" customWidth="1"/>
    <col min="16" max="16" width="7.140625" style="0" customWidth="1"/>
    <col min="17" max="17" width="3.00390625" style="0" customWidth="1"/>
  </cols>
  <sheetData>
    <row r="2" spans="2:18" ht="12.75">
      <c r="B2" s="14"/>
      <c r="C2" s="14"/>
      <c r="D2" s="144" t="s">
        <v>53</v>
      </c>
      <c r="E2" s="144"/>
      <c r="F2" s="144"/>
      <c r="G2" s="144"/>
      <c r="H2" s="82"/>
      <c r="I2" s="144" t="s">
        <v>45</v>
      </c>
      <c r="J2" s="144"/>
      <c r="K2" s="144"/>
      <c r="L2" s="144"/>
      <c r="M2" s="82"/>
      <c r="N2" s="144" t="s">
        <v>55</v>
      </c>
      <c r="O2" s="144"/>
      <c r="P2" s="144"/>
      <c r="R2" s="59" t="s">
        <v>106</v>
      </c>
    </row>
    <row r="3" spans="2:18" ht="14.25">
      <c r="B3" s="82" t="s">
        <v>44</v>
      </c>
      <c r="C3" s="82"/>
      <c r="D3" s="82" t="s">
        <v>130</v>
      </c>
      <c r="E3" s="82" t="s">
        <v>129</v>
      </c>
      <c r="F3" s="82" t="s">
        <v>87</v>
      </c>
      <c r="G3" s="82" t="s">
        <v>88</v>
      </c>
      <c r="H3" s="82"/>
      <c r="I3" s="82" t="s">
        <v>123</v>
      </c>
      <c r="J3" s="82" t="s">
        <v>124</v>
      </c>
      <c r="K3" s="82" t="s">
        <v>125</v>
      </c>
      <c r="L3" s="82" t="s">
        <v>126</v>
      </c>
      <c r="M3" s="82"/>
      <c r="N3" s="82" t="s">
        <v>54</v>
      </c>
      <c r="O3" s="82" t="s">
        <v>127</v>
      </c>
      <c r="P3" s="82" t="s">
        <v>128</v>
      </c>
      <c r="R3" s="133" t="s">
        <v>107</v>
      </c>
    </row>
    <row r="4" spans="2:18" ht="13.5" thickBot="1">
      <c r="B4" s="90"/>
      <c r="C4" s="91"/>
      <c r="D4" s="92" t="s">
        <v>38</v>
      </c>
      <c r="E4" s="92" t="s">
        <v>38</v>
      </c>
      <c r="F4" s="92" t="s">
        <v>38</v>
      </c>
      <c r="G4" s="93" t="s">
        <v>38</v>
      </c>
      <c r="H4" s="83"/>
      <c r="I4" s="92" t="s">
        <v>0</v>
      </c>
      <c r="J4" s="92" t="s">
        <v>0</v>
      </c>
      <c r="K4" s="92" t="s">
        <v>0</v>
      </c>
      <c r="L4" s="92" t="s">
        <v>0</v>
      </c>
      <c r="M4" s="83"/>
      <c r="N4" s="92" t="s">
        <v>0</v>
      </c>
      <c r="O4" s="92" t="s">
        <v>0</v>
      </c>
      <c r="P4" s="92" t="s">
        <v>0</v>
      </c>
      <c r="R4" s="134" t="s">
        <v>7</v>
      </c>
    </row>
  </sheetData>
  <mergeCells count="3">
    <mergeCell ref="D2:G2"/>
    <mergeCell ref="N2:P2"/>
    <mergeCell ref="I2:L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olavsell</dc:creator>
  <cp:keywords/>
  <dc:description/>
  <cp:lastModifiedBy>korneliu</cp:lastModifiedBy>
  <cp:lastPrinted>2005-05-04T12:10:39Z</cp:lastPrinted>
  <dcterms:created xsi:type="dcterms:W3CDTF">2005-02-23T12:06:19Z</dcterms:created>
  <dcterms:modified xsi:type="dcterms:W3CDTF">2005-05-04T13:36:09Z</dcterms:modified>
  <cp:category/>
  <cp:version/>
  <cp:contentType/>
  <cp:contentStatus/>
</cp:coreProperties>
</file>