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worksheets/sheet8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105" windowWidth="7230" windowHeight="8685" tabRatio="932" firstSheet="1" activeTab="2"/>
  </bookViews>
  <sheets>
    <sheet name="Readme" sheetId="1" r:id="rId1"/>
    <sheet name="Remap-comps" sheetId="2" r:id="rId2"/>
    <sheet name="CVD Data" sheetId="3" r:id="rId3"/>
    <sheet name="CCE &amp; other data" sheetId="4" r:id="rId4"/>
    <sheet name="Material balance" sheetId="5" r:id="rId5"/>
    <sheet name="Recovery factors" sheetId="6" r:id="rId6"/>
    <sheet name="OGR chart " sheetId="7" r:id="rId7"/>
    <sheet name="K-value chart" sheetId="8" r:id="rId8"/>
    <sheet name="Density chart" sheetId="9" r:id="rId9"/>
    <sheet name="MBO props" sheetId="10" r:id="rId10"/>
    <sheet name="Rec factors calc" sheetId="11" r:id="rId11"/>
    <sheet name="CVD analysis" sheetId="12" r:id="rId12"/>
  </sheets>
  <definedNames>
    <definedName name="Carbon_no" localSheetId="9">'MBO props'!$N$8:$N$26</definedName>
    <definedName name="Carbon_no">'Rec factors calc'!$N$37:$N$51</definedName>
    <definedName name="Density" localSheetId="9">'MBO props'!$O$29:$O$38</definedName>
    <definedName name="Density">'Rec factors calc'!$S$54:$S$58</definedName>
    <definedName name="Gas_molar_vol">'CVD analysis'!$R$138</definedName>
    <definedName name="Init_mass">'CVD analysis'!$O$36</definedName>
    <definedName name="Initial_gas">'Rec factors calc'!$P$41</definedName>
    <definedName name="Initial_oil">'Rec factors calc'!$P$60</definedName>
    <definedName name="Liq_molar_vol">'CVD analysis'!$R$139</definedName>
    <definedName name="Liq_mole_frac">'CVD analysis'!$R$142</definedName>
    <definedName name="Liq_sat">'CVD analysis'!$R$141</definedName>
    <definedName name="Mgas">'CVD analysis'!$C$45:$L$45</definedName>
    <definedName name="Mgas_p">'CVD analysis'!$C$44:$L$44</definedName>
    <definedName name="Mliq">'CVD analysis'!$C$46:$L$46</definedName>
    <definedName name="Moles_resid_gas">'CVD analysis'!$R$145</definedName>
    <definedName name="Moles_resid_liq">'CVD analysis'!$R$144</definedName>
    <definedName name="Moles_resid_oil">'CVD analysis'!$R$144</definedName>
    <definedName name="MW" localSheetId="9">'MBO props'!$N$29:$N$38</definedName>
    <definedName name="MW">'Rec factors calc'!$R$54:$R$58</definedName>
    <definedName name="MW_C7">'CVD analysis'!$C$30:$L$30</definedName>
    <definedName name="MW_gas">'CVD analysis'!$C$32:$L$32</definedName>
    <definedName name="Mwref">'CVD Data'!$Q$17:$Q$32</definedName>
    <definedName name="N_init" localSheetId="9">'MBO props'!#REF!</definedName>
    <definedName name="N_init">'Rec factors calc'!$Q$12</definedName>
    <definedName name="N_plus">'CVD Data'!$Y$3</definedName>
    <definedName name="N_pres">'CVD Data'!$V$3</definedName>
    <definedName name="Ngas">'CVD analysis'!$C$41:$L$41</definedName>
    <definedName name="Ngas_p">'CVD analysis'!$C$39:$L$39</definedName>
    <definedName name="Nliq">'CVD analysis'!$C$42:$L$42</definedName>
    <definedName name="Np">'CVD analysis'!$C$7:$L$7</definedName>
    <definedName name="Oil_frac">'CCE &amp; other data'!$C$40</definedName>
    <definedName name="P" localSheetId="11">'CVD analysis'!$C$5:$L$5</definedName>
    <definedName name="P" localSheetId="2">'CVD Data'!#REF!</definedName>
    <definedName name="P" localSheetId="9">'MBO props'!$C$5:$L$5</definedName>
    <definedName name="P">'Rec factors calc'!$B$6:$L$6</definedName>
    <definedName name="P_CCE">'CCE &amp; other data'!$M$18:$M$25</definedName>
    <definedName name="P_init" localSheetId="9">'MBO props'!#REF!</definedName>
    <definedName name="P_init">'CCE &amp; other data'!$E$7</definedName>
    <definedName name="Pdew">'CVD Data'!$C$10</definedName>
    <definedName name="PlusFrac">'CVD Data'!$Y$4</definedName>
    <definedName name="Pstd" localSheetId="9">'CCE &amp; other data'!$C$46</definedName>
    <definedName name="Pstd">'CCE &amp; other data'!$C$46</definedName>
    <definedName name="Residual_liq_MW">'CVD Data'!$N$42</definedName>
    <definedName name="Residual_liquid_density">'Material balance'!$I$7</definedName>
    <definedName name="SL">'CVD analysis'!$C$8:$L$8</definedName>
    <definedName name="Total_moles">'CVD analysis'!$R$140</definedName>
    <definedName name="Tres">'CVD analysis'!$C$2</definedName>
    <definedName name="Tstd" localSheetId="9">'CCE &amp; other data'!$C$45</definedName>
    <definedName name="Tstd">'CCE &amp; other data'!$C$45</definedName>
    <definedName name="UGC">'CVD analysis'!$O$2</definedName>
    <definedName name="V">'CVD analysis'!$C$35:$L$35</definedName>
    <definedName name="V_CCE">'CCE &amp; other data'!$N$18:$N$25</definedName>
    <definedName name="V_Pdew" localSheetId="9">'MBO props'!#REF!</definedName>
    <definedName name="V_Pdew">'Rec factors calc'!$Q$11</definedName>
    <definedName name="V_Pinit" localSheetId="9">'MBO props'!#REF!</definedName>
    <definedName name="V_Pinit">'Rec factors calc'!$Q$10</definedName>
    <definedName name="Vcell">'CVD analysis'!$O$35</definedName>
    <definedName name="Vgas">'CVD analysis'!$C$40:$L$40</definedName>
    <definedName name="Z">'CVD analysis'!$C$9:$L$9</definedName>
  </definedNames>
  <calcPr fullCalcOnLoad="1"/>
</workbook>
</file>

<file path=xl/comments11.xml><?xml version="1.0" encoding="utf-8"?>
<comments xmlns="http://schemas.openxmlformats.org/spreadsheetml/2006/main">
  <authors>
    <author>Robert Mott</author>
  </authors>
  <commentList>
    <comment ref="P12" authorId="0">
      <text>
        <r>
          <rPr>
            <b/>
            <sz val="8"/>
            <rFont val="Tahoma"/>
            <family val="0"/>
          </rPr>
          <t>Robert Mott:</t>
        </r>
        <r>
          <rPr>
            <sz val="8"/>
            <rFont val="Tahoma"/>
            <family val="0"/>
          </rPr>
          <t xml:space="preserve">
Ratio between vol at dew point and vol at initial pressure</t>
        </r>
      </text>
    </comment>
  </commentList>
</comments>
</file>

<file path=xl/comments12.xml><?xml version="1.0" encoding="utf-8"?>
<comments xmlns="http://schemas.openxmlformats.org/spreadsheetml/2006/main">
  <authors>
    <author>Robert Mott</author>
  </authors>
  <commentList>
    <comment ref="N2" authorId="0">
      <text>
        <r>
          <rPr>
            <b/>
            <sz val="8"/>
            <rFont val="Tahoma"/>
            <family val="0"/>
          </rPr>
          <t>Robert Mott:</t>
        </r>
        <r>
          <rPr>
            <sz val="8"/>
            <rFont val="Tahoma"/>
            <family val="0"/>
          </rPr>
          <t xml:space="preserve">
Universal gas constant (field units)</t>
        </r>
      </text>
    </comment>
    <comment ref="B35" authorId="0">
      <text>
        <r>
          <rPr>
            <b/>
            <sz val="8"/>
            <rFont val="Tahoma"/>
            <family val="0"/>
          </rPr>
          <t>Robert Mott:</t>
        </r>
        <r>
          <rPr>
            <sz val="8"/>
            <rFont val="Tahoma"/>
            <family val="0"/>
          </rPr>
          <t xml:space="preserve">
Molar vol (cu ft/lb mol)</t>
        </r>
      </text>
    </comment>
    <comment ref="N35" authorId="0">
      <text>
        <r>
          <rPr>
            <b/>
            <sz val="8"/>
            <rFont val="Tahoma"/>
            <family val="0"/>
          </rPr>
          <t>Robert Mott:</t>
        </r>
        <r>
          <rPr>
            <sz val="8"/>
            <rFont val="Tahoma"/>
            <family val="0"/>
          </rPr>
          <t xml:space="preserve">
Volume of 1 lb mol at Pdew</t>
        </r>
      </text>
    </comment>
    <comment ref="Q145" authorId="0">
      <text>
        <r>
          <rPr>
            <b/>
            <sz val="8"/>
            <rFont val="Tahoma"/>
            <family val="0"/>
          </rPr>
          <t>Robert Mott:</t>
        </r>
        <r>
          <rPr>
            <sz val="8"/>
            <rFont val="Tahoma"/>
            <family val="0"/>
          </rPr>
          <t xml:space="preserve">
To use in backward material balance calculation</t>
        </r>
      </text>
    </comment>
  </commentList>
</comments>
</file>

<file path=xl/comments3.xml><?xml version="1.0" encoding="utf-8"?>
<comments xmlns="http://schemas.openxmlformats.org/spreadsheetml/2006/main">
  <authors>
    <author>Robert Mott</author>
    <author>Curtis Hays Whitson</author>
  </authors>
  <commentList>
    <comment ref="C10" authorId="0">
      <text>
        <r>
          <rPr>
            <b/>
            <sz val="8"/>
            <rFont val="Tahoma"/>
            <family val="0"/>
          </rPr>
          <t>Robert Mott:</t>
        </r>
        <r>
          <rPr>
            <sz val="8"/>
            <rFont val="Tahoma"/>
            <family val="0"/>
          </rPr>
          <t xml:space="preserve">
This must be the dew point pressure</t>
        </r>
      </text>
    </comment>
    <comment ref="I36" authorId="1">
      <text>
        <r>
          <rPr>
            <b/>
            <sz val="9"/>
            <rFont val="Tahoma"/>
            <family val="0"/>
          </rPr>
          <t>Curtis Hays Whitson:</t>
        </r>
        <r>
          <rPr>
            <sz val="9"/>
            <rFont val="Tahoma"/>
            <family val="0"/>
          </rPr>
          <t xml:space="preserve">
says the reported value is crap! Use a reasonable value…
</t>
        </r>
      </text>
    </comment>
  </commentList>
</comments>
</file>

<file path=xl/comments4.xml><?xml version="1.0" encoding="utf-8"?>
<comments xmlns="http://schemas.openxmlformats.org/spreadsheetml/2006/main">
  <authors>
    <author>Robert Mott</author>
  </authors>
  <commentList>
    <comment ref="C17" authorId="0">
      <text>
        <r>
          <rPr>
            <b/>
            <sz val="8"/>
            <rFont val="Tahoma"/>
            <family val="0"/>
          </rPr>
          <t>Robert Mott:</t>
        </r>
        <r>
          <rPr>
            <sz val="8"/>
            <rFont val="Tahoma"/>
            <family val="0"/>
          </rPr>
          <t xml:space="preserve">
Volume relative to volume at dew point pressure</t>
        </r>
      </text>
    </comment>
    <comment ref="M16" authorId="0">
      <text>
        <r>
          <rPr>
            <b/>
            <sz val="8"/>
            <rFont val="Tahoma"/>
            <family val="0"/>
          </rPr>
          <t>Robert Mott:</t>
        </r>
        <r>
          <rPr>
            <sz val="8"/>
            <rFont val="Tahoma"/>
            <family val="0"/>
          </rPr>
          <t xml:space="preserve">
Table set up using -P to allow TabLook function - which needs data in ascending order</t>
        </r>
      </text>
    </comment>
  </commentList>
</comments>
</file>

<file path=xl/sharedStrings.xml><?xml version="1.0" encoding="utf-8"?>
<sst xmlns="http://schemas.openxmlformats.org/spreadsheetml/2006/main" count="321" uniqueCount="217">
  <si>
    <t>CO2</t>
  </si>
  <si>
    <t>N2</t>
  </si>
  <si>
    <t>C1</t>
  </si>
  <si>
    <t>C2</t>
  </si>
  <si>
    <t>C3</t>
  </si>
  <si>
    <t>iC4</t>
  </si>
  <si>
    <t>nC4</t>
  </si>
  <si>
    <t>iC5</t>
  </si>
  <si>
    <t>nC5</t>
  </si>
  <si>
    <t>C6</t>
  </si>
  <si>
    <t>C7+</t>
  </si>
  <si>
    <t>Z</t>
  </si>
  <si>
    <t>P</t>
  </si>
  <si>
    <t>SL</t>
  </si>
  <si>
    <t>Tres</t>
  </si>
  <si>
    <t>Gas density (lb/ft3)</t>
  </si>
  <si>
    <t>deg R</t>
  </si>
  <si>
    <t>MW_gas</t>
  </si>
  <si>
    <t>Mwref</t>
  </si>
  <si>
    <t>vol of 1 lb mole (ft3)</t>
  </si>
  <si>
    <t>UGC</t>
  </si>
  <si>
    <t>Gas density (Kg/m3)</t>
  </si>
  <si>
    <t>V</t>
  </si>
  <si>
    <t>Vcell</t>
  </si>
  <si>
    <t>Lb moles of liquid</t>
  </si>
  <si>
    <t>Mliq</t>
  </si>
  <si>
    <t>pressure (psia)</t>
  </si>
  <si>
    <t>wellstream produced (cum fraction)</t>
  </si>
  <si>
    <t>liquid volume (fraction)</t>
  </si>
  <si>
    <t>Nliq</t>
  </si>
  <si>
    <t>Np</t>
  </si>
  <si>
    <t>Mass removed</t>
  </si>
  <si>
    <t>Lb Moles gas produced</t>
  </si>
  <si>
    <t>Ngas_p</t>
  </si>
  <si>
    <t>Vgas</t>
  </si>
  <si>
    <t>Ngas</t>
  </si>
  <si>
    <t>Mass of gas in cell</t>
  </si>
  <si>
    <t>Mass of liquid</t>
  </si>
  <si>
    <t>Lb moles of gas in cell</t>
  </si>
  <si>
    <t>Vol of gas in cell</t>
  </si>
  <si>
    <t>Init mass</t>
  </si>
  <si>
    <t>Mgas_p</t>
  </si>
  <si>
    <t>Mgas</t>
  </si>
  <si>
    <t>Liquid density (lb/ft3)</t>
  </si>
  <si>
    <t>Liquid density (Kg/m3)</t>
  </si>
  <si>
    <t>MW of liquid</t>
  </si>
  <si>
    <t>gas phase composition</t>
  </si>
  <si>
    <t>moles of each component</t>
  </si>
  <si>
    <t>Total</t>
  </si>
  <si>
    <t>moles of liquid in cell</t>
  </si>
  <si>
    <t>K-values</t>
  </si>
  <si>
    <t>MW of C7+ fraction in liquid</t>
  </si>
  <si>
    <t>CVD Data</t>
  </si>
  <si>
    <t>CCE Data</t>
  </si>
  <si>
    <t>only enter data at or above dew point pressure</t>
  </si>
  <si>
    <t>psig</t>
  </si>
  <si>
    <t>Relative</t>
  </si>
  <si>
    <t>volume</t>
  </si>
  <si>
    <t>The first pressure must be the dew point pressure</t>
  </si>
  <si>
    <t>enter pressures in descending order</t>
  </si>
  <si>
    <t>Calculated recovery factors for each component</t>
  </si>
  <si>
    <t>Initial pressure (psig)</t>
  </si>
  <si>
    <t>Component</t>
  </si>
  <si>
    <t>V_CCE</t>
  </si>
  <si>
    <t>P_CCE</t>
  </si>
  <si>
    <t>V_Pdew</t>
  </si>
  <si>
    <t>V_Pinit</t>
  </si>
  <si>
    <t>N_init</t>
  </si>
  <si>
    <t>C4's</t>
  </si>
  <si>
    <t>C5's</t>
  </si>
  <si>
    <t>Total composition</t>
  </si>
  <si>
    <t>Number of pressure entries</t>
  </si>
  <si>
    <t>N_pres</t>
  </si>
  <si>
    <t>No of pressures in CVD</t>
  </si>
  <si>
    <t>This worksheet analyses results from CVD and CCE tests on a gas condensate fluid</t>
  </si>
  <si>
    <t>Reservoir temperature (deg F)</t>
  </si>
  <si>
    <t>Then enter CCE relative volumes (above the dew point) on the sheet 'CCE Data'</t>
  </si>
  <si>
    <t>Gas Condensate PVT Analysis Workbook</t>
  </si>
  <si>
    <t>The sheet 'CVD analysis' contains material balance calculations which can be used as a consistency check of CVD data</t>
  </si>
  <si>
    <t>These checks are described in 'Phase Behavior', SPE Monograph 20, by Whitson and Brule</t>
  </si>
  <si>
    <t xml:space="preserve">The material balance checks calculate liquid phase densities and compositions.  </t>
  </si>
  <si>
    <t>Data should only be entered on yellow cells</t>
  </si>
  <si>
    <t>Densities and K-values from the material balance calculation are displayed as charts.</t>
  </si>
  <si>
    <t>(after extra gas has been removed)</t>
  </si>
  <si>
    <t>remaining in cell</t>
  </si>
  <si>
    <t>Pressure</t>
  </si>
  <si>
    <t>The number of pressure entries must be set to display the charts correctly</t>
  </si>
  <si>
    <t>temperature (deg R)</t>
  </si>
  <si>
    <t>eq gas Z-factor</t>
  </si>
  <si>
    <t>Non-monotonic behaviour for the K-value or liquid density curves will cast some doubt on the validity of the CVD measurements</t>
  </si>
  <si>
    <t>Equilibrium gas composition</t>
  </si>
  <si>
    <t>Equilibrium gas Z-factor</t>
  </si>
  <si>
    <t>Pressure (psig)</t>
  </si>
  <si>
    <t>Wellstream produced (cum %)</t>
  </si>
  <si>
    <t>Liquid volume (%)</t>
  </si>
  <si>
    <t>Equilibrium</t>
  </si>
  <si>
    <t>Liquid</t>
  </si>
  <si>
    <t>(last stage)</t>
  </si>
  <si>
    <t>Calculated liquid phase composition (mol %)</t>
  </si>
  <si>
    <t>Measured</t>
  </si>
  <si>
    <t>liquid</t>
  </si>
  <si>
    <t>composition</t>
  </si>
  <si>
    <t>First enter CVD data (below the dew point) on the sheet 'CVD Data'</t>
  </si>
  <si>
    <t>Calculated recovery factors</t>
  </si>
  <si>
    <t>C4+</t>
  </si>
  <si>
    <t>C5+</t>
  </si>
  <si>
    <t>C6+</t>
  </si>
  <si>
    <t>Definition of oil for surface oil and gas recoveries</t>
  </si>
  <si>
    <t>Oil frac</t>
  </si>
  <si>
    <t>up to C3</t>
  </si>
  <si>
    <t>C4</t>
  </si>
  <si>
    <t>C5</t>
  </si>
  <si>
    <t>Carbon_no</t>
  </si>
  <si>
    <t>Density</t>
  </si>
  <si>
    <t>Moles of oil</t>
  </si>
  <si>
    <t>Moles of Gas</t>
  </si>
  <si>
    <t>Volume of Oil</t>
  </si>
  <si>
    <t>MW</t>
  </si>
  <si>
    <t>(lb/ft3)</t>
  </si>
  <si>
    <t>Tstd</t>
  </si>
  <si>
    <t>Pstd</t>
  </si>
  <si>
    <t>Gas volume at surface  (ft3/mol of equil gas)</t>
  </si>
  <si>
    <t>Oil volume at surface (ft3/mol of equil gas)</t>
  </si>
  <si>
    <t>Oil-gas ratio (bbl/MMscf)</t>
  </si>
  <si>
    <t>Calculated modified black oil properties</t>
  </si>
  <si>
    <t>Pressure (psia)</t>
  </si>
  <si>
    <t>Gas FVF (res bbl/Mscf)</t>
  </si>
  <si>
    <t>psia</t>
  </si>
  <si>
    <t>General Information</t>
  </si>
  <si>
    <t>Abandonment pressure (psia)</t>
  </si>
  <si>
    <t>Vol</t>
  </si>
  <si>
    <t>Rel vol</t>
  </si>
  <si>
    <t>Moles produced at each step</t>
  </si>
  <si>
    <t>Moles of gas produced</t>
  </si>
  <si>
    <t>Cumulative total</t>
  </si>
  <si>
    <t>Gas</t>
  </si>
  <si>
    <t>Initial gas</t>
  </si>
  <si>
    <t>Moles of oil produced</t>
  </si>
  <si>
    <t>Initial oil</t>
  </si>
  <si>
    <t>`</t>
  </si>
  <si>
    <t>Oil</t>
  </si>
  <si>
    <t>Volume of oil produced (ft3/mol of equil gas)</t>
  </si>
  <si>
    <t>mol vol</t>
  </si>
  <si>
    <t>Vol prod</t>
  </si>
  <si>
    <t>Cum vol</t>
  </si>
  <si>
    <t>Cum moles</t>
  </si>
  <si>
    <t>Initial moles</t>
  </si>
  <si>
    <t>Produced gas phase composition</t>
  </si>
  <si>
    <t>gas density (kg/m3)</t>
  </si>
  <si>
    <t>gas density (lb/ft3)</t>
  </si>
  <si>
    <t>liquid density (kg/m3)</t>
  </si>
  <si>
    <t>liquid density (lb/ft3)</t>
  </si>
  <si>
    <t>Recovery factors for individual components and for stock tank oil and  gas are shown on the sheet 'Recovery factors'</t>
  </si>
  <si>
    <t>H2S</t>
  </si>
  <si>
    <t>Backward material balance calculation</t>
  </si>
  <si>
    <t>Residual liquid</t>
  </si>
  <si>
    <t>Residual gas</t>
  </si>
  <si>
    <t>Calculate original gas composition from residual liquid and produced gas compositions</t>
  </si>
  <si>
    <t>Forward material balance</t>
  </si>
  <si>
    <t>Backward material balance</t>
  </si>
  <si>
    <t>Calculated</t>
  </si>
  <si>
    <t>Calculates residual liquid composition</t>
  </si>
  <si>
    <t>Calculates initial gas composition</t>
  </si>
  <si>
    <t>Calculated density of residual liquid</t>
  </si>
  <si>
    <t>lb/ft3</t>
  </si>
  <si>
    <t>Density to use in calculation</t>
  </si>
  <si>
    <t>Moles of residual liquid</t>
  </si>
  <si>
    <t>Gas molar vol</t>
  </si>
  <si>
    <t>Liq molar vol</t>
  </si>
  <si>
    <t>Residual liq MW</t>
  </si>
  <si>
    <t>Total moles</t>
  </si>
  <si>
    <t>Liq sat</t>
  </si>
  <si>
    <t>Liq mole frac</t>
  </si>
  <si>
    <t>Moles resid liq</t>
  </si>
  <si>
    <t>Moles_resid_gas</t>
  </si>
  <si>
    <t>Written by Robert Mott, August 2003</t>
  </si>
  <si>
    <t xml:space="preserve">If the liquid composition is measured at the end of the CVD, two other material balance checks can be used. </t>
  </si>
  <si>
    <t>A 'Backward Material Balance' calculates the original composition from the final liquid composition, final liquid saturation, final gas Z-factor, the amounts of gas removed, and the gas compositions at each step. This is a better check for lean condensates.</t>
  </si>
  <si>
    <t>A 'Forward Material Balance' calculates the final liquid composition from the original composition, liquid saturations, Z-factors, amounts of gas removed, and the gas compositions at each step.</t>
  </si>
  <si>
    <t>The Material Balance checks are shown on the sheet 'Material Balance'.</t>
  </si>
  <si>
    <t>Plus fraction</t>
  </si>
  <si>
    <t>C8+</t>
  </si>
  <si>
    <t>C9+</t>
  </si>
  <si>
    <t>C10+</t>
  </si>
  <si>
    <t>C11+</t>
  </si>
  <si>
    <t>C12+</t>
  </si>
  <si>
    <t>N_plus</t>
  </si>
  <si>
    <t>PlusFrac</t>
  </si>
  <si>
    <t>C7</t>
  </si>
  <si>
    <t>C8</t>
  </si>
  <si>
    <t>C9</t>
  </si>
  <si>
    <t>C10</t>
  </si>
  <si>
    <t>C11</t>
  </si>
  <si>
    <t>Plus fraction prod</t>
  </si>
  <si>
    <t>MW_plus</t>
  </si>
  <si>
    <t>NS-1 fluid</t>
  </si>
  <si>
    <t>Nitrogen</t>
  </si>
  <si>
    <t>Carbon</t>
  </si>
  <si>
    <t>Dioxide</t>
  </si>
  <si>
    <t>Methane</t>
  </si>
  <si>
    <t>Ethane</t>
  </si>
  <si>
    <t>Propane</t>
  </si>
  <si>
    <t>Isobutane</t>
  </si>
  <si>
    <t>n-Butane</t>
  </si>
  <si>
    <t>2,2</t>
  </si>
  <si>
    <t>Dimethylpropane</t>
  </si>
  <si>
    <t>Isopentane</t>
  </si>
  <si>
    <t>n-Pentane</t>
  </si>
  <si>
    <t>Dimethylbutane</t>
  </si>
  <si>
    <t>Cyclopentane</t>
  </si>
  <si>
    <t>2,3</t>
  </si>
  <si>
    <t>Methylpentane</t>
  </si>
  <si>
    <t>n-Hexane</t>
  </si>
  <si>
    <t>Heptanes</t>
  </si>
  <si>
    <t>Plus</t>
  </si>
  <si>
    <t>GOR (scf/STB)</t>
  </si>
  <si>
    <t>JACK KNIFE 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</si>
</sst>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0"/>
    <numFmt numFmtId="174" formatCode="0.0000"/>
    <numFmt numFmtId="175" formatCode="0.0"/>
    <numFmt numFmtId="176" formatCode="0.0%"/>
    <numFmt numFmtId="177" formatCode="0.0000E+00;\ĝ"/>
    <numFmt numFmtId="178" formatCode="0.0000E+00;\乀"/>
    <numFmt numFmtId="179" formatCode="0.000E+00;\乀"/>
    <numFmt numFmtId="180" formatCode="0.00E+00;\乀"/>
    <numFmt numFmtId="181" formatCode="0.00000000"/>
    <numFmt numFmtId="182" formatCode="0.0000000"/>
    <numFmt numFmtId="183" formatCode="0.000000"/>
    <numFmt numFmtId="184" formatCode="0.000_)"/>
  </numFmts>
  <fonts count="28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sz val="10"/>
      <color indexed="1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0" xfId="0" applyFont="1" applyBorder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Border="1" applyAlignment="1">
      <alignment/>
    </xf>
    <xf numFmtId="176" fontId="0" fillId="0" borderId="5" xfId="21" applyNumberFormat="1" applyBorder="1" applyAlignment="1">
      <alignment/>
    </xf>
    <xf numFmtId="176" fontId="0" fillId="2" borderId="0" xfId="21" applyNumberFormat="1" applyFill="1" applyBorder="1" applyAlignment="1">
      <alignment/>
    </xf>
    <xf numFmtId="176" fontId="0" fillId="2" borderId="5" xfId="21" applyNumberFormat="1" applyFill="1" applyBorder="1" applyAlignment="1">
      <alignment/>
    </xf>
    <xf numFmtId="176" fontId="0" fillId="0" borderId="7" xfId="21" applyNumberFormat="1" applyBorder="1" applyAlignment="1">
      <alignment/>
    </xf>
    <xf numFmtId="176" fontId="0" fillId="0" borderId="8" xfId="21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10" fillId="0" borderId="4" xfId="0" applyFont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3" borderId="11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5" xfId="0" applyNumberFormat="1" applyBorder="1" applyAlignment="1">
      <alignment/>
    </xf>
    <xf numFmtId="174" fontId="0" fillId="0" borderId="7" xfId="0" applyNumberFormat="1" applyBorder="1" applyAlignment="1">
      <alignment/>
    </xf>
    <xf numFmtId="174" fontId="0" fillId="0" borderId="8" xfId="0" applyNumberFormat="1" applyBorder="1" applyAlignment="1">
      <alignment/>
    </xf>
    <xf numFmtId="174" fontId="0" fillId="0" borderId="4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2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5" fontId="0" fillId="4" borderId="0" xfId="0" applyNumberFormat="1" applyFill="1" applyAlignment="1">
      <alignment/>
    </xf>
    <xf numFmtId="0" fontId="0" fillId="0" borderId="12" xfId="0" applyBorder="1" applyAlignment="1">
      <alignment/>
    </xf>
    <xf numFmtId="175" fontId="0" fillId="5" borderId="9" xfId="0" applyNumberFormat="1" applyFill="1" applyBorder="1" applyAlignment="1">
      <alignment/>
    </xf>
    <xf numFmtId="2" fontId="0" fillId="5" borderId="9" xfId="0" applyNumberFormat="1" applyFill="1" applyBorder="1" applyAlignment="1">
      <alignment/>
    </xf>
    <xf numFmtId="2" fontId="0" fillId="5" borderId="13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2" fillId="0" borderId="4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Alignment="1">
      <alignment/>
    </xf>
    <xf numFmtId="175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6" fontId="0" fillId="2" borderId="7" xfId="21" applyNumberForma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9" xfId="0" applyFont="1" applyBorder="1" applyAlignment="1">
      <alignment/>
    </xf>
    <xf numFmtId="172" fontId="0" fillId="0" borderId="9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2" borderId="9" xfId="0" applyNumberFormat="1" applyFill="1" applyBorder="1" applyAlignment="1">
      <alignment/>
    </xf>
    <xf numFmtId="0" fontId="16" fillId="0" borderId="0" xfId="0" applyFont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6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1" fillId="0" borderId="7" xfId="0" applyFont="1" applyBorder="1" applyAlignment="1">
      <alignment/>
    </xf>
    <xf numFmtId="2" fontId="21" fillId="0" borderId="7" xfId="0" applyNumberFormat="1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6" xfId="0" applyFont="1" applyBorder="1" applyAlignment="1">
      <alignment/>
    </xf>
    <xf numFmtId="2" fontId="21" fillId="0" borderId="5" xfId="0" applyNumberFormat="1" applyFont="1" applyBorder="1" applyAlignment="1">
      <alignment/>
    </xf>
    <xf numFmtId="2" fontId="21" fillId="0" borderId="8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74" fontId="22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175" fontId="0" fillId="3" borderId="5" xfId="0" applyNumberFormat="1" applyFill="1" applyBorder="1" applyAlignment="1">
      <alignment/>
    </xf>
    <xf numFmtId="172" fontId="0" fillId="3" borderId="0" xfId="0" applyNumberFormat="1" applyFill="1" applyBorder="1" applyAlignment="1" applyProtection="1">
      <alignment/>
      <protection locked="0"/>
    </xf>
    <xf numFmtId="2" fontId="0" fillId="0" borderId="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72" fontId="0" fillId="3" borderId="9" xfId="0" applyNumberFormat="1" applyFill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Recovery factors from depletion, no water influx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175"/>
          <c:w val="0.8535"/>
          <c:h val="0.7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'Rec factors calc'!$A$9</c:f>
              <c:strCache>
                <c:ptCount val="1"/>
                <c:pt idx="0">
                  <c:v>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calc'!$B$9:$L$9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0.2332047100907253</c:v>
                </c:pt>
                <c:pt idx="3">
                  <c:v>0.3608984017354725</c:v>
                </c:pt>
                <c:pt idx="4">
                  <c:v>0.5275373630614066</c:v>
                </c:pt>
                <c:pt idx="5">
                  <c:v>0.6795297535643957</c:v>
                </c:pt>
                <c:pt idx="6">
                  <c:v>0.8416853180170549</c:v>
                </c:pt>
                <c:pt idx="7">
                  <c:v>0.9883843552225934</c:v>
                </c:pt>
                <c:pt idx="8">
                  <c:v>0.9883843552225934</c:v>
                </c:pt>
                <c:pt idx="9">
                  <c:v>0.9883843552225934</c:v>
                </c:pt>
                <c:pt idx="10">
                  <c:v>0.9883843552225934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'Rec factors calc'!$A$10</c:f>
              <c:strCache>
                <c:ptCount val="1"/>
                <c:pt idx="0">
                  <c:v>C2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calc'!$B$10:$L$10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0.23108502860933955</c:v>
                </c:pt>
                <c:pt idx="3">
                  <c:v>0.3519914375763098</c:v>
                </c:pt>
                <c:pt idx="4">
                  <c:v>0.5119843895780183</c:v>
                </c:pt>
                <c:pt idx="5">
                  <c:v>0.6599832775679102</c:v>
                </c:pt>
                <c:pt idx="6">
                  <c:v>0.8221562663774202</c:v>
                </c:pt>
                <c:pt idx="7">
                  <c:v>0.9923503058902335</c:v>
                </c:pt>
                <c:pt idx="8">
                  <c:v>0.9923503058902335</c:v>
                </c:pt>
                <c:pt idx="9">
                  <c:v>0.9923503058902335</c:v>
                </c:pt>
                <c:pt idx="10">
                  <c:v>0.9923503058902335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'Rec factors calc'!$A$11</c:f>
              <c:strCache>
                <c:ptCount val="1"/>
                <c:pt idx="0">
                  <c:v>C3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calc'!$B$11:$L$11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0.2283713308806038</c:v>
                </c:pt>
                <c:pt idx="3">
                  <c:v>0.34341154121811324</c:v>
                </c:pt>
                <c:pt idx="4">
                  <c:v>0.4911549133203774</c:v>
                </c:pt>
                <c:pt idx="5">
                  <c:v>0.6250070403726038</c:v>
                </c:pt>
                <c:pt idx="6">
                  <c:v>0.7840029961063396</c:v>
                </c:pt>
                <c:pt idx="7">
                  <c:v>0.9873986710513962</c:v>
                </c:pt>
                <c:pt idx="8">
                  <c:v>0.9873986710513962</c:v>
                </c:pt>
                <c:pt idx="9">
                  <c:v>0.9873986710513962</c:v>
                </c:pt>
                <c:pt idx="10">
                  <c:v>0.9873986710513962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'Rec factors calc'!$A$12</c:f>
              <c:strCache>
                <c:ptCount val="1"/>
                <c:pt idx="0">
                  <c:v>C4's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calc'!$B$12:$L$12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0.22592249839978606</c:v>
                </c:pt>
                <c:pt idx="3">
                  <c:v>0.3333691439844797</c:v>
                </c:pt>
                <c:pt idx="4">
                  <c:v>0.47087681111252366</c:v>
                </c:pt>
                <c:pt idx="5">
                  <c:v>0.5963316531186782</c:v>
                </c:pt>
                <c:pt idx="6">
                  <c:v>0.7478090374151725</c:v>
                </c:pt>
                <c:pt idx="7">
                  <c:v>0.981066751708456</c:v>
                </c:pt>
                <c:pt idx="8">
                  <c:v>0.981066751708456</c:v>
                </c:pt>
                <c:pt idx="9">
                  <c:v>0.981066751708456</c:v>
                </c:pt>
                <c:pt idx="10">
                  <c:v>0.981066751708456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'Rec factors calc'!$A$13</c:f>
              <c:strCache>
                <c:ptCount val="1"/>
                <c:pt idx="0">
                  <c:v>C5's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calc'!$B$13:$L$13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0.2252194586862859</c:v>
                </c:pt>
                <c:pt idx="3">
                  <c:v>0.33030958357033546</c:v>
                </c:pt>
                <c:pt idx="4">
                  <c:v>0.4579190335997646</c:v>
                </c:pt>
                <c:pt idx="5">
                  <c:v>0.567990580386698</c:v>
                </c:pt>
                <c:pt idx="6">
                  <c:v>0.7054639338334313</c:v>
                </c:pt>
                <c:pt idx="7">
                  <c:v>0.9371924541653914</c:v>
                </c:pt>
                <c:pt idx="8">
                  <c:v>0.9371924541653914</c:v>
                </c:pt>
                <c:pt idx="9">
                  <c:v>0.9371924541653914</c:v>
                </c:pt>
                <c:pt idx="10">
                  <c:v>0.9371924541653914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'Rec factors calc'!$A$14</c:f>
              <c:strCache>
                <c:ptCount val="1"/>
                <c:pt idx="0">
                  <c:v>C6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calc'!$B$14:$L$14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0.22196448242561984</c:v>
                </c:pt>
                <c:pt idx="3">
                  <c:v>0.3153402972045455</c:v>
                </c:pt>
                <c:pt idx="4">
                  <c:v>0.4243729012102274</c:v>
                </c:pt>
                <c:pt idx="5">
                  <c:v>0.5155445726844009</c:v>
                </c:pt>
                <c:pt idx="6">
                  <c:v>0.6228008879509297</c:v>
                </c:pt>
                <c:pt idx="7">
                  <c:v>0.8409579576079547</c:v>
                </c:pt>
                <c:pt idx="8">
                  <c:v>0.8409579576079547</c:v>
                </c:pt>
                <c:pt idx="9">
                  <c:v>0.8409579576079547</c:v>
                </c:pt>
                <c:pt idx="10">
                  <c:v>0.8409579576079547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'Rec factors calc'!$A$15</c:f>
              <c:strCache>
                <c:ptCount val="1"/>
                <c:pt idx="0">
                  <c:v>C7+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calc'!$B$15:$L$15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0.206294298541295</c:v>
                </c:pt>
                <c:pt idx="3">
                  <c:v>0.25427567071046286</c:v>
                </c:pt>
                <c:pt idx="4">
                  <c:v>0.29535655133802086</c:v>
                </c:pt>
                <c:pt idx="5">
                  <c:v>0.3239860446741526</c:v>
                </c:pt>
                <c:pt idx="6">
                  <c:v>0.35507190426067803</c:v>
                </c:pt>
                <c:pt idx="7">
                  <c:v>0.5962607141882676</c:v>
                </c:pt>
                <c:pt idx="8">
                  <c:v>0.5962607141882676</c:v>
                </c:pt>
                <c:pt idx="9">
                  <c:v>0.5962607141882676</c:v>
                </c:pt>
                <c:pt idx="10">
                  <c:v>0.5962607141882676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'Rec factors calc'!$A$17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calc'!$B$17:$L$17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0.23232143271913908</c:v>
                </c:pt>
                <c:pt idx="3">
                  <c:v>0.3575669308027334</c:v>
                </c:pt>
                <c:pt idx="4">
                  <c:v>0.5209064889072548</c:v>
                </c:pt>
                <c:pt idx="5">
                  <c:v>0.6700131402004728</c:v>
                </c:pt>
                <c:pt idx="6">
                  <c:v>0.8314743462222025</c:v>
                </c:pt>
                <c:pt idx="7">
                  <c:v>0.98808377769795</c:v>
                </c:pt>
                <c:pt idx="8">
                  <c:v>0.98808377769795</c:v>
                </c:pt>
                <c:pt idx="9">
                  <c:v>0.98808377769795</c:v>
                </c:pt>
                <c:pt idx="10">
                  <c:v>0.98808377769795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'Rec factors calc'!$A$18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'Rec factors calc'!$B$6:$L$6</c:f>
              <c:numCache>
                <c:ptCount val="11"/>
                <c:pt idx="0">
                  <c:v>10440</c:v>
                </c:pt>
                <c:pt idx="1">
                  <c:v>5535</c:v>
                </c:pt>
                <c:pt idx="2">
                  <c:v>4500</c:v>
                </c:pt>
                <c:pt idx="3">
                  <c:v>3500</c:v>
                </c:pt>
                <c:pt idx="4">
                  <c:v>2500</c:v>
                </c:pt>
                <c:pt idx="5">
                  <c:v>1700</c:v>
                </c:pt>
                <c:pt idx="6">
                  <c:v>900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'Rec factors calc'!$B$18:$L$18</c:f>
              <c:numCache>
                <c:ptCount val="11"/>
                <c:pt idx="0">
                  <c:v>0</c:v>
                </c:pt>
                <c:pt idx="1">
                  <c:v>0.16285000000000005</c:v>
                </c:pt>
                <c:pt idx="2">
                  <c:v>0.20500661801360986</c:v>
                </c:pt>
                <c:pt idx="3">
                  <c:v>0.25340156422342774</c:v>
                </c:pt>
                <c:pt idx="4">
                  <c:v>0.29782627773334713</c:v>
                </c:pt>
                <c:pt idx="5">
                  <c:v>0.33066984375882036</c:v>
                </c:pt>
                <c:pt idx="6">
                  <c:v>0.3676871250746603</c:v>
                </c:pt>
                <c:pt idx="7">
                  <c:v>0.5667285506106542</c:v>
                </c:pt>
                <c:pt idx="8">
                  <c:v>0.5667285506106542</c:v>
                </c:pt>
                <c:pt idx="9">
                  <c:v>0.5667285506106542</c:v>
                </c:pt>
                <c:pt idx="10">
                  <c:v>0.5667285506106542</c:v>
                </c:pt>
              </c:numCache>
            </c:numRef>
          </c:yVal>
          <c:smooth val="0"/>
        </c:ser>
        <c:axId val="280326"/>
        <c:axId val="2522935"/>
      </c:scatterChart>
      <c:valAx>
        <c:axId val="2803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abandonment pressure (psig)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522935"/>
        <c:crosses val="max"/>
        <c:crossBetween val="midCat"/>
        <c:dispUnits/>
      </c:valAx>
      <c:valAx>
        <c:axId val="2522935"/>
        <c:scaling>
          <c:orientation val="minMax"/>
          <c:max val="1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Recovery factors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803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5"/>
          <c:y val="0.186"/>
          <c:w val="0.18025"/>
          <c:h val="0.422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'CCE &amp; other data'!$B$43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12825"/>
          <c:w val="0.851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v>Oil-gas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'MBO props'!$C$5:$L$5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'MBO props'!$C$42:$L$42</c:f>
              <c:numCache>
                <c:ptCount val="7"/>
                <c:pt idx="0">
                  <c:v>196.9778989571166</c:v>
                </c:pt>
                <c:pt idx="1">
                  <c:v>119.53002433431779</c:v>
                </c:pt>
                <c:pt idx="2">
                  <c:v>76.11239501950006</c:v>
                </c:pt>
                <c:pt idx="3">
                  <c:v>53.573591299642025</c:v>
                </c:pt>
                <c:pt idx="4">
                  <c:v>43.38811564639641</c:v>
                </c:pt>
                <c:pt idx="5">
                  <c:v>45.159989067078854</c:v>
                </c:pt>
                <c:pt idx="6">
                  <c:v>250.34738609328917</c:v>
                </c:pt>
              </c:numCache>
            </c:numRef>
          </c:yVal>
          <c:smooth val="0"/>
        </c:ser>
        <c:axId val="22706416"/>
        <c:axId val="3031153"/>
      </c:scatterChart>
      <c:valAx>
        <c:axId val="2270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1153"/>
        <c:crossesAt val="0"/>
        <c:crossBetween val="midCat"/>
        <c:dispUnits/>
      </c:valAx>
      <c:valAx>
        <c:axId val="30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OGR (bbl/MMscf)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064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K-values calculated from material balance analysis of CVD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1"/>
          <c:w val="0.8852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'CVD analysis'!$B$116</c:f>
              <c:strCache>
                <c:ptCount val="1"/>
                <c:pt idx="0">
                  <c:v>CO2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analysis'!$C$116:$L$116</c:f>
              <c:numCache>
                <c:ptCount val="7"/>
                <c:pt idx="1">
                  <c:v>1.2984972173857305</c:v>
                </c:pt>
                <c:pt idx="2">
                  <c:v>1.3975304811773934</c:v>
                </c:pt>
                <c:pt idx="3">
                  <c:v>1.6242322579667872</c:v>
                </c:pt>
                <c:pt idx="4">
                  <c:v>2.0752568042581316</c:v>
                </c:pt>
                <c:pt idx="5">
                  <c:v>3.3693016553806387</c:v>
                </c:pt>
                <c:pt idx="6">
                  <c:v>2.2056883718095674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'CVD analysis'!$B$118</c:f>
              <c:strCache>
                <c:ptCount val="1"/>
                <c:pt idx="0">
                  <c:v>C1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analysis'!$C$118:$L$118</c:f>
              <c:numCache>
                <c:ptCount val="7"/>
                <c:pt idx="1">
                  <c:v>1.6779064390099023</c:v>
                </c:pt>
                <c:pt idx="2">
                  <c:v>1.994117312990038</c:v>
                </c:pt>
                <c:pt idx="3">
                  <c:v>2.42265221490856</c:v>
                </c:pt>
                <c:pt idx="4">
                  <c:v>3.3275387376080414</c:v>
                </c:pt>
                <c:pt idx="5">
                  <c:v>7.488393508443813</c:v>
                </c:pt>
                <c:pt idx="6">
                  <c:v>4.529024247164327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'CVD analysis'!$B$119</c:f>
              <c:strCache>
                <c:ptCount val="1"/>
                <c:pt idx="0">
                  <c:v>C2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analysis'!$C$119:$L$119</c:f>
              <c:numCache>
                <c:ptCount val="7"/>
                <c:pt idx="1">
                  <c:v>1.205136612480483</c:v>
                </c:pt>
                <c:pt idx="2">
                  <c:v>1.229121120261526</c:v>
                </c:pt>
                <c:pt idx="3">
                  <c:v>1.5065168358220857</c:v>
                </c:pt>
                <c:pt idx="4">
                  <c:v>1.8870094341833992</c:v>
                </c:pt>
                <c:pt idx="5">
                  <c:v>2.90991945740077</c:v>
                </c:pt>
                <c:pt idx="6">
                  <c:v>9.526183209777761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'CVD analysis'!$B$120</c:f>
              <c:strCache>
                <c:ptCount val="1"/>
                <c:pt idx="0">
                  <c:v>C3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analysis'!$C$120:$L$120</c:f>
              <c:numCache>
                <c:ptCount val="7"/>
                <c:pt idx="1">
                  <c:v>0.8686721272677478</c:v>
                </c:pt>
                <c:pt idx="2">
                  <c:v>0.8930452203905069</c:v>
                </c:pt>
                <c:pt idx="3">
                  <c:v>0.889939082296271</c:v>
                </c:pt>
                <c:pt idx="4">
                  <c:v>0.8756765723495186</c:v>
                </c:pt>
                <c:pt idx="5">
                  <c:v>1.2484775584449779</c:v>
                </c:pt>
                <c:pt idx="6">
                  <c:v>6.153162959051831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'CVD analysis'!$B$121</c:f>
              <c:strCache>
                <c:ptCount val="1"/>
                <c:pt idx="0">
                  <c:v>iC4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analysis'!$C$121:$L$121</c:f>
              <c:numCache>
                <c:ptCount val="7"/>
                <c:pt idx="1">
                  <c:v>0.720955261228282</c:v>
                </c:pt>
                <c:pt idx="2">
                  <c:v>0.6700766224775935</c:v>
                </c:pt>
                <c:pt idx="3">
                  <c:v>0.6410208442725001</c:v>
                </c:pt>
                <c:pt idx="4">
                  <c:v>0.6451473530332653</c:v>
                </c:pt>
                <c:pt idx="5">
                  <c:v>0.7985198097626968</c:v>
                </c:pt>
                <c:pt idx="6">
                  <c:v>7.037912481352012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'CVD analysis'!$B$122</c:f>
              <c:strCache>
                <c:ptCount val="1"/>
                <c:pt idx="0">
                  <c:v>nC4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analysis'!$C$122:$L$122</c:f>
              <c:numCache>
                <c:ptCount val="7"/>
                <c:pt idx="1">
                  <c:v>0.6608022755375058</c:v>
                </c:pt>
                <c:pt idx="2">
                  <c:v>0.6261042536369855</c:v>
                </c:pt>
                <c:pt idx="3">
                  <c:v>0.6184944730729631</c:v>
                </c:pt>
                <c:pt idx="4">
                  <c:v>0.5854854480830063</c:v>
                </c:pt>
                <c:pt idx="5">
                  <c:v>0.7205455106501557</c:v>
                </c:pt>
                <c:pt idx="6">
                  <c:v>3.5716721686811894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'CVD analysis'!$B$123</c:f>
              <c:strCache>
                <c:ptCount val="1"/>
                <c:pt idx="0">
                  <c:v>iC5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analysis'!$C$123:$L$123</c:f>
              <c:numCache>
                <c:ptCount val="7"/>
                <c:pt idx="1">
                  <c:v>0.6389974398841888</c:v>
                </c:pt>
                <c:pt idx="2">
                  <c:v>0.5799593668072641</c:v>
                </c:pt>
                <c:pt idx="3">
                  <c:v>0.47953913797228875</c:v>
                </c:pt>
                <c:pt idx="4">
                  <c:v>0.3956460881048154</c:v>
                </c:pt>
                <c:pt idx="5">
                  <c:v>0.48757340102645225</c:v>
                </c:pt>
                <c:pt idx="6">
                  <c:v>1.3106526852966687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'CVD analysis'!$B$124</c:f>
              <c:strCache>
                <c:ptCount val="1"/>
                <c:pt idx="0">
                  <c:v>nC5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analysis'!$C$124:$L$124</c:f>
              <c:numCache>
                <c:ptCount val="7"/>
                <c:pt idx="1">
                  <c:v>0.6434460769169421</c:v>
                </c:pt>
                <c:pt idx="2">
                  <c:v>0.5932230419672152</c:v>
                </c:pt>
                <c:pt idx="3">
                  <c:v>0.490465207145219</c:v>
                </c:pt>
                <c:pt idx="4">
                  <c:v>0.40264523346981</c:v>
                </c:pt>
                <c:pt idx="5">
                  <c:v>0.4352604673053043</c:v>
                </c:pt>
                <c:pt idx="6">
                  <c:v>1.0176584218150737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'CVD analysis'!$B$125</c:f>
              <c:strCache>
                <c:ptCount val="1"/>
                <c:pt idx="0">
                  <c:v>C6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analysis'!$C$125:$L$125</c:f>
              <c:numCache>
                <c:ptCount val="7"/>
                <c:pt idx="1">
                  <c:v>0.4933252727388096</c:v>
                </c:pt>
                <c:pt idx="2">
                  <c:v>0.3921874536473264</c:v>
                </c:pt>
                <c:pt idx="3">
                  <c:v>0.3061361932362448</c:v>
                </c:pt>
                <c:pt idx="4">
                  <c:v>0.23855788057968164</c:v>
                </c:pt>
                <c:pt idx="5">
                  <c:v>0.21881474110852459</c:v>
                </c:pt>
                <c:pt idx="6">
                  <c:v>0.41331228943243015</c:v>
                </c:pt>
              </c:numCache>
            </c:numRef>
          </c:yVal>
          <c:smooth val="0"/>
        </c:ser>
        <c:ser>
          <c:idx val="1"/>
          <c:order val="9"/>
          <c:tx>
            <c:strRef>
              <c:f>'CVD analysis'!$B$126</c:f>
              <c:strCache>
                <c:ptCount val="1"/>
                <c:pt idx="0">
                  <c:v>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analysis'!$C$126:$L$126</c:f>
            </c:numRef>
          </c:yVal>
          <c:smooth val="0"/>
        </c:ser>
        <c:ser>
          <c:idx val="11"/>
          <c:order val="10"/>
          <c:tx>
            <c:strRef>
              <c:f>'CVD analysis'!$B$127</c:f>
              <c:strCache>
                <c:ptCount val="1"/>
                <c:pt idx="0">
                  <c:v>C8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analysis'!$C$127:$L$127</c:f>
            </c:numRef>
          </c:yVal>
          <c:smooth val="0"/>
        </c:ser>
        <c:ser>
          <c:idx val="12"/>
          <c:order val="11"/>
          <c:tx>
            <c:strRef>
              <c:f>'CVD analysis'!$B$128</c:f>
              <c:strCache>
                <c:ptCount val="1"/>
                <c:pt idx="0">
                  <c:v>C9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analysis'!$C$128:$L$128</c:f>
            </c:numRef>
          </c:yVal>
          <c:smooth val="0"/>
        </c:ser>
        <c:ser>
          <c:idx val="13"/>
          <c:order val="12"/>
          <c:tx>
            <c:strRef>
              <c:f>'CVD analysis'!$B$129</c:f>
              <c:strCache>
                <c:ptCount val="1"/>
                <c:pt idx="0">
                  <c:v>C10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analysis'!$C$129:$L$129</c:f>
            </c:numRef>
          </c:yVal>
          <c:smooth val="0"/>
        </c:ser>
        <c:ser>
          <c:idx val="14"/>
          <c:order val="13"/>
          <c:tx>
            <c:strRef>
              <c:f>'CVD analysis'!$B$130</c:f>
              <c:strCache>
                <c:ptCount val="1"/>
                <c:pt idx="0">
                  <c:v>C11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analysis'!$C$130:$L$130</c:f>
            </c:numRef>
          </c:yVal>
          <c:smooth val="0"/>
        </c:ser>
        <c:ser>
          <c:idx val="10"/>
          <c:order val="14"/>
          <c:tx>
            <c:strRef>
              <c:f>'CVD analysis'!$B$131</c:f>
              <c:strCache>
                <c:ptCount val="1"/>
                <c:pt idx="0">
                  <c:v>C7+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'CVD analysis'!$C$5:$L$5</c:f>
              <c:numCache>
                <c:ptCount val="7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  <c:pt idx="6">
                  <c:v>16.7</c:v>
                </c:pt>
              </c:numCache>
            </c:numRef>
          </c:xVal>
          <c:yVal>
            <c:numRef>
              <c:f>'CVD analysis'!$C$131:$L$131</c:f>
              <c:numCache>
                <c:ptCount val="7"/>
                <c:pt idx="1">
                  <c:v>0.19018793846936954</c:v>
                </c:pt>
                <c:pt idx="2">
                  <c:v>0.10229944189617521</c:v>
                </c:pt>
                <c:pt idx="3">
                  <c:v>0.05837909298697276</c:v>
                </c:pt>
                <c:pt idx="4">
                  <c:v>0.03786745000233075</c:v>
                </c:pt>
                <c:pt idx="5">
                  <c:v>0.028852401264576506</c:v>
                </c:pt>
                <c:pt idx="6">
                  <c:v>0.17804542418640704</c:v>
                </c:pt>
              </c:numCache>
            </c:numRef>
          </c:yVal>
          <c:smooth val="0"/>
        </c:ser>
        <c:axId val="27280378"/>
        <c:axId val="44196811"/>
      </c:scatterChart>
      <c:valAx>
        <c:axId val="2728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196811"/>
        <c:crossesAt val="0.01"/>
        <c:crossBetween val="midCat"/>
        <c:dispUnits/>
      </c:valAx>
      <c:valAx>
        <c:axId val="44196811"/>
        <c:scaling>
          <c:logBase val="10"/>
          <c:orientation val="minMax"/>
          <c:min val="0.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2803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17925"/>
          <c:w val="0.085"/>
          <c:h val="0.57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Oil and Gas Densities calculated from material balance analysis of CVD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855"/>
          <c:w val="0.8515"/>
          <c:h val="0.84"/>
        </c:manualLayout>
      </c:layout>
      <c:scatterChart>
        <c:scatterStyle val="lineMarker"/>
        <c:varyColors val="0"/>
        <c:ser>
          <c:idx val="2"/>
          <c:order val="0"/>
          <c:tx>
            <c:strRef>
              <c:f>'CVD analysis'!$B$50</c:f>
              <c:strCache>
                <c:ptCount val="1"/>
                <c:pt idx="0">
                  <c:v>liquid density (kg/m3)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'CVD analysis'!$C$5:$H$5</c:f>
              <c:numCache>
                <c:ptCount val="6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</c:numCache>
            </c:numRef>
          </c:xVal>
          <c:yVal>
            <c:numRef>
              <c:f>'CVD analysis'!$C$50:$H$50</c:f>
              <c:numCache>
                <c:ptCount val="6"/>
                <c:pt idx="1">
                  <c:v>650.002949158254</c:v>
                </c:pt>
                <c:pt idx="2">
                  <c:v>661.5725143620996</c:v>
                </c:pt>
                <c:pt idx="3">
                  <c:v>680.3483234401457</c:v>
                </c:pt>
                <c:pt idx="4">
                  <c:v>721.1755336923642</c:v>
                </c:pt>
                <c:pt idx="5">
                  <c:v>791.9355743628015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'CVD analysis'!$B$37</c:f>
              <c:strCache>
                <c:ptCount val="1"/>
                <c:pt idx="0">
                  <c:v>gas density (kg/m3)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'CVD analysis'!$C$5:$H$5</c:f>
              <c:numCache>
                <c:ptCount val="6"/>
                <c:pt idx="0">
                  <c:v>5549.7</c:v>
                </c:pt>
                <c:pt idx="1">
                  <c:v>4514.7</c:v>
                </c:pt>
                <c:pt idx="2">
                  <c:v>3514.7</c:v>
                </c:pt>
                <c:pt idx="3">
                  <c:v>2514.7</c:v>
                </c:pt>
                <c:pt idx="4">
                  <c:v>1714.7</c:v>
                </c:pt>
                <c:pt idx="5">
                  <c:v>914.7</c:v>
                </c:pt>
              </c:numCache>
            </c:numRef>
          </c:xVal>
          <c:yVal>
            <c:numRef>
              <c:f>'CVD analysis'!$C$37:$H$37</c:f>
              <c:numCache>
                <c:ptCount val="6"/>
                <c:pt idx="0">
                  <c:v>394.5797709718268</c:v>
                </c:pt>
                <c:pt idx="1">
                  <c:v>311.02644433759616</c:v>
                </c:pt>
                <c:pt idx="2">
                  <c:v>230.06337800198236</c:v>
                </c:pt>
                <c:pt idx="3">
                  <c:v>155.80075749349731</c:v>
                </c:pt>
                <c:pt idx="4">
                  <c:v>100.40554768963807</c:v>
                </c:pt>
                <c:pt idx="5">
                  <c:v>51.45432606452509</c:v>
                </c:pt>
              </c:numCache>
            </c:numRef>
          </c:yVal>
          <c:smooth val="0"/>
        </c:ser>
        <c:axId val="62226980"/>
        <c:axId val="23171909"/>
      </c:scatterChart>
      <c:valAx>
        <c:axId val="62226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71909"/>
        <c:crossesAt val="0"/>
        <c:crossBetween val="midCat"/>
        <c:dispUnits/>
      </c:valAx>
      <c:valAx>
        <c:axId val="23171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density (Kg/m3)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226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3585"/>
          <c:w val="0.198"/>
          <c:h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26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105.421875" style="0" customWidth="1"/>
  </cols>
  <sheetData>
    <row r="1" ht="18">
      <c r="A1" s="29" t="s">
        <v>77</v>
      </c>
    </row>
    <row r="2" ht="12.75">
      <c r="A2" s="9" t="s">
        <v>175</v>
      </c>
    </row>
    <row r="4" ht="12.75">
      <c r="A4" s="46" t="s">
        <v>74</v>
      </c>
    </row>
    <row r="5" ht="12.75">
      <c r="A5" s="46"/>
    </row>
    <row r="6" ht="12.75">
      <c r="A6" s="46" t="s">
        <v>81</v>
      </c>
    </row>
    <row r="7" ht="12.75">
      <c r="A7" s="46"/>
    </row>
    <row r="8" ht="12.75">
      <c r="A8" s="46" t="s">
        <v>102</v>
      </c>
    </row>
    <row r="9" ht="12.75">
      <c r="A9" s="46" t="s">
        <v>76</v>
      </c>
    </row>
    <row r="10" ht="12.75">
      <c r="A10" s="46"/>
    </row>
    <row r="11" ht="12.75">
      <c r="A11" s="46" t="s">
        <v>152</v>
      </c>
    </row>
    <row r="12" ht="12.75">
      <c r="A12" s="46"/>
    </row>
    <row r="13" ht="12.75">
      <c r="A13" s="46" t="s">
        <v>78</v>
      </c>
    </row>
    <row r="14" ht="12.75">
      <c r="A14" s="46" t="s">
        <v>79</v>
      </c>
    </row>
    <row r="15" ht="12.75">
      <c r="A15" s="46"/>
    </row>
    <row r="16" ht="12.75">
      <c r="A16" s="46" t="s">
        <v>80</v>
      </c>
    </row>
    <row r="17" ht="12.75">
      <c r="A17" s="46"/>
    </row>
    <row r="18" ht="12.75">
      <c r="A18" s="46" t="s">
        <v>82</v>
      </c>
    </row>
    <row r="19" ht="12.75">
      <c r="A19" s="46"/>
    </row>
    <row r="20" ht="21.75" customHeight="1">
      <c r="A20" s="46" t="s">
        <v>89</v>
      </c>
    </row>
    <row r="21" ht="12.75">
      <c r="A21" s="46"/>
    </row>
    <row r="22" ht="12.75">
      <c r="A22" s="46" t="s">
        <v>176</v>
      </c>
    </row>
    <row r="23" ht="25.5">
      <c r="A23" s="46" t="s">
        <v>178</v>
      </c>
    </row>
    <row r="24" ht="32.25" customHeight="1">
      <c r="A24" s="46" t="s">
        <v>177</v>
      </c>
    </row>
    <row r="25" ht="12.75">
      <c r="A25" s="46" t="s">
        <v>179</v>
      </c>
    </row>
    <row r="26" ht="12.75">
      <c r="A26" s="4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145" zoomScaleNormal="145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5.00390625" style="0" bestFit="1" customWidth="1"/>
    <col min="3" max="3" width="22.8515625" style="0" customWidth="1"/>
  </cols>
  <sheetData>
    <row r="1" ht="12.75">
      <c r="A1" t="s">
        <v>216</v>
      </c>
    </row>
    <row r="3" spans="1:6" ht="12.75">
      <c r="A3" t="s">
        <v>196</v>
      </c>
      <c r="C3">
        <v>0</v>
      </c>
      <c r="E3" s="13" t="s">
        <v>1</v>
      </c>
      <c r="F3" s="1">
        <f>C3</f>
        <v>0</v>
      </c>
    </row>
    <row r="4" spans="1:6" ht="12.75">
      <c r="A4" t="s">
        <v>197</v>
      </c>
      <c r="B4" t="s">
        <v>198</v>
      </c>
      <c r="C4">
        <v>0</v>
      </c>
      <c r="E4" s="13" t="s">
        <v>0</v>
      </c>
      <c r="F4" s="1">
        <f>C4</f>
        <v>0</v>
      </c>
    </row>
    <row r="5" spans="1:6" ht="12.75">
      <c r="A5" t="s">
        <v>199</v>
      </c>
      <c r="C5">
        <v>0.002</v>
      </c>
      <c r="E5" s="13" t="s">
        <v>153</v>
      </c>
      <c r="F5" s="1">
        <v>0</v>
      </c>
    </row>
    <row r="6" spans="1:6" ht="12.75">
      <c r="A6" t="s">
        <v>200</v>
      </c>
      <c r="C6">
        <v>0.008</v>
      </c>
      <c r="E6" s="13" t="s">
        <v>2</v>
      </c>
      <c r="F6" s="1">
        <f>C5</f>
        <v>0.002</v>
      </c>
    </row>
    <row r="7" spans="1:6" ht="12.75">
      <c r="A7" t="s">
        <v>201</v>
      </c>
      <c r="C7">
        <v>0.154</v>
      </c>
      <c r="E7" s="13" t="s">
        <v>3</v>
      </c>
      <c r="F7" s="1">
        <f>C6</f>
        <v>0.008</v>
      </c>
    </row>
    <row r="8" spans="1:6" ht="12.75">
      <c r="A8" t="s">
        <v>202</v>
      </c>
      <c r="C8">
        <v>0.188</v>
      </c>
      <c r="E8" s="13" t="s">
        <v>4</v>
      </c>
      <c r="F8" s="1">
        <f>C7</f>
        <v>0.154</v>
      </c>
    </row>
    <row r="9" spans="1:6" ht="12.75">
      <c r="A9" t="s">
        <v>203</v>
      </c>
      <c r="C9">
        <v>0.608</v>
      </c>
      <c r="E9" s="13" t="s">
        <v>5</v>
      </c>
      <c r="F9" s="1">
        <f>C8</f>
        <v>0.188</v>
      </c>
    </row>
    <row r="10" spans="1:6" ht="12.75">
      <c r="A10" t="s">
        <v>204</v>
      </c>
      <c r="B10" t="s">
        <v>205</v>
      </c>
      <c r="C10">
        <v>0.004</v>
      </c>
      <c r="E10" s="13" t="s">
        <v>6</v>
      </c>
      <c r="F10" s="1">
        <f>C9</f>
        <v>0.608</v>
      </c>
    </row>
    <row r="11" spans="1:6" ht="12.75">
      <c r="A11" t="s">
        <v>206</v>
      </c>
      <c r="C11">
        <v>0.835</v>
      </c>
      <c r="E11" s="13" t="s">
        <v>7</v>
      </c>
      <c r="F11" s="1">
        <f>SUM(C10:C11)</f>
        <v>0.839</v>
      </c>
    </row>
    <row r="12" spans="1:6" ht="12.75">
      <c r="A12" t="s">
        <v>207</v>
      </c>
      <c r="C12">
        <v>1.099</v>
      </c>
      <c r="E12" s="13" t="s">
        <v>8</v>
      </c>
      <c r="F12" s="1">
        <f>C12</f>
        <v>1.099</v>
      </c>
    </row>
    <row r="13" spans="1:6" ht="12.75">
      <c r="A13" t="s">
        <v>204</v>
      </c>
      <c r="B13" t="s">
        <v>208</v>
      </c>
      <c r="C13">
        <v>0.055</v>
      </c>
      <c r="E13" s="13" t="s">
        <v>9</v>
      </c>
      <c r="F13" s="1">
        <f>SUM(C13:C18)</f>
        <v>3.234</v>
      </c>
    </row>
    <row r="14" spans="1:6" ht="12.75">
      <c r="A14" t="s">
        <v>209</v>
      </c>
      <c r="C14">
        <v>0</v>
      </c>
      <c r="E14" s="13" t="str">
        <f>PlusFrac</f>
        <v>C7+</v>
      </c>
      <c r="F14" s="1">
        <f>C19</f>
        <v>93.867</v>
      </c>
    </row>
    <row r="15" spans="1:5" ht="12.75">
      <c r="A15" t="s">
        <v>210</v>
      </c>
      <c r="B15" t="s">
        <v>208</v>
      </c>
      <c r="C15">
        <v>0.356</v>
      </c>
      <c r="E15" s="13"/>
    </row>
    <row r="16" spans="1:5" ht="12.75">
      <c r="A16">
        <v>2</v>
      </c>
      <c r="B16" t="s">
        <v>211</v>
      </c>
      <c r="C16">
        <v>0.84</v>
      </c>
      <c r="E16" s="13"/>
    </row>
    <row r="17" spans="1:5" ht="12.75">
      <c r="A17">
        <v>3</v>
      </c>
      <c r="B17" t="s">
        <v>211</v>
      </c>
      <c r="C17">
        <v>0.56</v>
      </c>
      <c r="E17" s="13"/>
    </row>
    <row r="18" spans="1:5" ht="12.75">
      <c r="A18" t="s">
        <v>212</v>
      </c>
      <c r="C18">
        <v>1.423</v>
      </c>
      <c r="E18" s="13"/>
    </row>
    <row r="19" spans="1:3" ht="12.75">
      <c r="A19" t="s">
        <v>213</v>
      </c>
      <c r="B19" t="s">
        <v>214</v>
      </c>
      <c r="C19">
        <v>93.867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52"/>
  <sheetViews>
    <sheetView tabSelected="1" workbookViewId="0" topLeftCell="A5">
      <selection activeCell="I17" sqref="I17:I33"/>
    </sheetView>
  </sheetViews>
  <sheetFormatPr defaultColWidth="9.140625" defaultRowHeight="12.75"/>
  <cols>
    <col min="1" max="1" width="6.7109375" style="0" customWidth="1"/>
    <col min="2" max="2" width="26.140625" style="0" customWidth="1"/>
    <col min="9" max="9" width="9.140625" style="0" customWidth="1"/>
    <col min="10" max="12" width="9.140625" style="0" hidden="1" customWidth="1"/>
    <col min="14" max="14" width="9.8515625" style="0" customWidth="1"/>
    <col min="22" max="22" width="12.57421875" style="0" customWidth="1"/>
  </cols>
  <sheetData>
    <row r="1" spans="2:25" ht="15.75">
      <c r="B1" s="88" t="s">
        <v>52</v>
      </c>
      <c r="C1" s="14"/>
      <c r="D1" s="14"/>
      <c r="E1" s="14"/>
      <c r="F1" s="14"/>
      <c r="G1" s="14"/>
      <c r="H1" s="14"/>
      <c r="I1" s="14"/>
      <c r="J1" s="14"/>
      <c r="K1" s="14"/>
      <c r="L1" s="14"/>
      <c r="U1" s="10" t="s">
        <v>73</v>
      </c>
      <c r="V1" s="12"/>
      <c r="X1" s="10" t="s">
        <v>180</v>
      </c>
      <c r="Y1" s="12"/>
    </row>
    <row r="2" spans="2:25" ht="12.75">
      <c r="B2" s="14" t="s">
        <v>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U2" s="13"/>
      <c r="V2" s="15"/>
      <c r="X2" s="13"/>
      <c r="Y2" s="15">
        <v>2</v>
      </c>
    </row>
    <row r="3" spans="2:25" ht="12.75">
      <c r="B3" s="14" t="s">
        <v>86</v>
      </c>
      <c r="C3" s="14"/>
      <c r="D3" s="14"/>
      <c r="E3" s="14"/>
      <c r="F3" s="14"/>
      <c r="G3" s="14"/>
      <c r="H3" s="14"/>
      <c r="I3" s="14"/>
      <c r="J3" s="14"/>
      <c r="K3" s="14"/>
      <c r="L3" s="14"/>
      <c r="U3" s="30" t="s">
        <v>72</v>
      </c>
      <c r="V3" s="34">
        <v>7</v>
      </c>
      <c r="X3" s="140" t="s">
        <v>186</v>
      </c>
      <c r="Y3" s="15">
        <f>Y2+5</f>
        <v>7</v>
      </c>
    </row>
    <row r="4" spans="1:25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U4" s="13"/>
      <c r="V4" s="15"/>
      <c r="X4" s="140" t="s">
        <v>187</v>
      </c>
      <c r="Y4" s="15" t="str">
        <f>CONCATENATE("C",TEXT(N_plus,"0"),"+")</f>
        <v>C7+</v>
      </c>
    </row>
    <row r="5" spans="1:25" ht="16.5" customHeight="1">
      <c r="A5" s="13"/>
      <c r="B5" s="14" t="s">
        <v>71</v>
      </c>
      <c r="C5" s="14"/>
      <c r="D5" s="14"/>
      <c r="E5" s="14"/>
      <c r="F5" s="14"/>
      <c r="G5" s="14"/>
      <c r="H5" s="14"/>
      <c r="I5" s="14"/>
      <c r="J5" s="14"/>
      <c r="K5" s="14"/>
      <c r="L5" s="14"/>
      <c r="U5" s="13"/>
      <c r="V5" s="15"/>
      <c r="X5" s="13"/>
      <c r="Y5" s="15"/>
    </row>
    <row r="6" spans="1:25" ht="7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s="62"/>
      <c r="U6" s="13"/>
      <c r="V6" s="15"/>
      <c r="X6" s="13"/>
      <c r="Y6" s="15"/>
    </row>
    <row r="7" spans="1:25" ht="16.5" customHeight="1">
      <c r="A7" s="13"/>
      <c r="B7" s="93" t="s">
        <v>180</v>
      </c>
      <c r="C7" s="14"/>
      <c r="D7" s="14"/>
      <c r="E7" s="14"/>
      <c r="F7" s="14"/>
      <c r="G7" s="14"/>
      <c r="H7" s="14"/>
      <c r="I7" s="14"/>
      <c r="J7" s="14"/>
      <c r="K7" s="14"/>
      <c r="L7" s="14"/>
      <c r="N7" s="62"/>
      <c r="U7" s="13"/>
      <c r="V7" s="15"/>
      <c r="X7" s="13"/>
      <c r="Y7" s="15"/>
    </row>
    <row r="8" spans="1:25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U8" s="13"/>
      <c r="V8" s="15"/>
      <c r="X8" s="13"/>
      <c r="Y8" s="15"/>
    </row>
    <row r="9" spans="1:25" ht="13.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U9" s="13"/>
      <c r="V9" s="15">
        <v>1</v>
      </c>
      <c r="X9" s="13"/>
      <c r="Y9" s="15" t="s">
        <v>106</v>
      </c>
    </row>
    <row r="10" spans="1:25" ht="12.75">
      <c r="A10" s="13"/>
      <c r="B10" s="10" t="s">
        <v>92</v>
      </c>
      <c r="C10" s="31">
        <v>5535</v>
      </c>
      <c r="D10" s="31">
        <v>4500</v>
      </c>
      <c r="E10" s="31">
        <v>3500</v>
      </c>
      <c r="F10" s="31">
        <v>2500</v>
      </c>
      <c r="G10" s="31">
        <v>1700</v>
      </c>
      <c r="H10" s="31">
        <v>900</v>
      </c>
      <c r="I10" s="31">
        <v>2</v>
      </c>
      <c r="J10" s="31"/>
      <c r="K10" s="31"/>
      <c r="L10" s="32"/>
      <c r="M10" s="13"/>
      <c r="N10" s="58"/>
      <c r="U10" s="13"/>
      <c r="V10" s="15">
        <v>2</v>
      </c>
      <c r="X10" s="13"/>
      <c r="Y10" s="15" t="s">
        <v>10</v>
      </c>
    </row>
    <row r="11" spans="1:25" ht="12.75">
      <c r="A11" s="13"/>
      <c r="B11" s="1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13"/>
      <c r="N11" s="59" t="s">
        <v>95</v>
      </c>
      <c r="U11" s="13"/>
      <c r="V11" s="15">
        <v>3</v>
      </c>
      <c r="X11" s="13"/>
      <c r="Y11" s="15" t="s">
        <v>181</v>
      </c>
    </row>
    <row r="12" spans="1:25" ht="12.75">
      <c r="A12" s="13"/>
      <c r="B12" s="13" t="s">
        <v>93</v>
      </c>
      <c r="C12" s="37">
        <v>0</v>
      </c>
      <c r="D12" s="35">
        <v>7.976</v>
      </c>
      <c r="E12" s="35">
        <v>21.98</v>
      </c>
      <c r="F12" s="35">
        <v>39.965</v>
      </c>
      <c r="G12" s="35">
        <v>56.259</v>
      </c>
      <c r="H12" s="35">
        <v>73.951</v>
      </c>
      <c r="I12" s="35">
        <v>93.845</v>
      </c>
      <c r="J12" s="35"/>
      <c r="K12" s="35"/>
      <c r="L12" s="36"/>
      <c r="M12" s="13"/>
      <c r="N12" s="59" t="s">
        <v>96</v>
      </c>
      <c r="U12" s="13"/>
      <c r="V12" s="15">
        <v>4</v>
      </c>
      <c r="X12" s="13"/>
      <c r="Y12" s="15" t="s">
        <v>182</v>
      </c>
    </row>
    <row r="13" spans="1:25" ht="12.75">
      <c r="A13" s="13"/>
      <c r="B13" s="13" t="s">
        <v>94</v>
      </c>
      <c r="C13" s="37">
        <v>0</v>
      </c>
      <c r="D13" s="35">
        <v>17</v>
      </c>
      <c r="E13" s="35">
        <v>22.842</v>
      </c>
      <c r="F13" s="35">
        <v>23.832</v>
      </c>
      <c r="G13" s="35">
        <v>22.309</v>
      </c>
      <c r="H13" s="35">
        <v>19.063</v>
      </c>
      <c r="I13" s="35">
        <v>14.967</v>
      </c>
      <c r="J13" s="35"/>
      <c r="K13" s="35"/>
      <c r="L13" s="36"/>
      <c r="M13" s="13"/>
      <c r="N13" s="59" t="s">
        <v>97</v>
      </c>
      <c r="U13" s="13"/>
      <c r="V13" s="15">
        <v>5</v>
      </c>
      <c r="X13" s="13"/>
      <c r="Y13" s="15" t="s">
        <v>183</v>
      </c>
    </row>
    <row r="14" spans="1:25" ht="13.5" thickBot="1">
      <c r="A14" s="13"/>
      <c r="B14" s="13" t="s">
        <v>91</v>
      </c>
      <c r="C14" s="35">
        <v>1.0823</v>
      </c>
      <c r="D14" s="35">
        <v>0.9202</v>
      </c>
      <c r="E14" s="35">
        <v>0.8515</v>
      </c>
      <c r="F14" s="35">
        <v>0.8369</v>
      </c>
      <c r="G14" s="35">
        <v>0.8568</v>
      </c>
      <c r="H14" s="35">
        <v>0.9069</v>
      </c>
      <c r="I14" s="35">
        <v>1</v>
      </c>
      <c r="J14" s="35"/>
      <c r="K14" s="35"/>
      <c r="L14" s="36"/>
      <c r="M14" s="13"/>
      <c r="N14" s="59"/>
      <c r="U14" s="13"/>
      <c r="V14" s="15">
        <v>6</v>
      </c>
      <c r="X14" s="13"/>
      <c r="Y14" s="15" t="s">
        <v>184</v>
      </c>
    </row>
    <row r="15" spans="1:25" ht="13.5" thickBot="1">
      <c r="A15" s="13"/>
      <c r="B15" s="13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13"/>
      <c r="N15" s="60"/>
      <c r="Q15" s="116" t="s">
        <v>117</v>
      </c>
      <c r="R15" s="117" t="s">
        <v>113</v>
      </c>
      <c r="U15" s="13"/>
      <c r="V15" s="15">
        <v>7</v>
      </c>
      <c r="X15" s="16"/>
      <c r="Y15" s="28" t="s">
        <v>185</v>
      </c>
    </row>
    <row r="16" spans="1:22" ht="12.75">
      <c r="A16" s="13"/>
      <c r="B16" s="13" t="s">
        <v>90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13"/>
      <c r="N16" s="60"/>
      <c r="Q16" s="118" t="s">
        <v>18</v>
      </c>
      <c r="R16" s="115" t="s">
        <v>118</v>
      </c>
      <c r="U16" s="13"/>
      <c r="V16" s="15">
        <v>8</v>
      </c>
    </row>
    <row r="17" spans="1:22" ht="12.75">
      <c r="A17" s="13"/>
      <c r="B17" s="13" t="s">
        <v>1</v>
      </c>
      <c r="C17" s="142">
        <v>0.393</v>
      </c>
      <c r="D17" s="142">
        <v>0.405</v>
      </c>
      <c r="E17" s="142">
        <v>0.433</v>
      </c>
      <c r="F17" s="142">
        <v>0.442</v>
      </c>
      <c r="G17" s="142">
        <v>0.437</v>
      </c>
      <c r="H17" s="142">
        <v>0.428</v>
      </c>
      <c r="I17" s="142">
        <v>0.335</v>
      </c>
      <c r="J17" s="35"/>
      <c r="K17" s="35"/>
      <c r="L17" s="36"/>
      <c r="M17" s="13"/>
      <c r="N17" s="145">
        <v>0</v>
      </c>
      <c r="O17" t="s">
        <v>1</v>
      </c>
      <c r="Q17" s="110">
        <v>28.013</v>
      </c>
      <c r="R17" s="114"/>
      <c r="U17" s="13"/>
      <c r="V17" s="15">
        <v>9</v>
      </c>
    </row>
    <row r="18" spans="1:22" ht="13.5" thickBot="1">
      <c r="A18" s="13"/>
      <c r="B18" s="13" t="s">
        <v>0</v>
      </c>
      <c r="C18" s="142">
        <v>1.776</v>
      </c>
      <c r="D18" s="142">
        <v>1.829</v>
      </c>
      <c r="E18" s="142">
        <v>1.863</v>
      </c>
      <c r="F18" s="142">
        <v>1.899</v>
      </c>
      <c r="G18" s="142">
        <v>1.936</v>
      </c>
      <c r="H18" s="142">
        <v>1.945</v>
      </c>
      <c r="I18" s="142">
        <v>1.612</v>
      </c>
      <c r="J18" s="35"/>
      <c r="K18" s="35"/>
      <c r="L18" s="36"/>
      <c r="M18" s="13"/>
      <c r="N18" s="145">
        <v>0</v>
      </c>
      <c r="O18" t="s">
        <v>0</v>
      </c>
      <c r="Q18" s="110">
        <v>44.01</v>
      </c>
      <c r="R18" s="114"/>
      <c r="U18" s="16"/>
      <c r="V18" s="28">
        <v>10</v>
      </c>
    </row>
    <row r="19" spans="1:22" ht="12.75">
      <c r="A19" s="13"/>
      <c r="B19" s="13" t="s">
        <v>153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35"/>
      <c r="K19" s="35"/>
      <c r="L19" s="36"/>
      <c r="M19" s="13"/>
      <c r="N19" s="145">
        <v>0</v>
      </c>
      <c r="O19" t="s">
        <v>153</v>
      </c>
      <c r="Q19" s="110">
        <v>34.076</v>
      </c>
      <c r="R19" s="114"/>
      <c r="U19" s="14"/>
      <c r="V19" s="14"/>
    </row>
    <row r="20" spans="1:18" ht="12.75">
      <c r="A20" s="13"/>
      <c r="B20" s="13" t="s">
        <v>2</v>
      </c>
      <c r="C20" s="142">
        <v>68.25</v>
      </c>
      <c r="D20" s="142">
        <v>71.913</v>
      </c>
      <c r="E20" s="142">
        <v>74.339</v>
      </c>
      <c r="F20" s="142">
        <v>75.538</v>
      </c>
      <c r="G20" s="142">
        <v>76.049</v>
      </c>
      <c r="H20" s="142">
        <v>74.723</v>
      </c>
      <c r="I20" s="142">
        <v>60.118</v>
      </c>
      <c r="J20" s="35"/>
      <c r="K20" s="35"/>
      <c r="L20" s="36"/>
      <c r="M20" s="13"/>
      <c r="N20" s="145">
        <v>0.002</v>
      </c>
      <c r="O20" t="s">
        <v>2</v>
      </c>
      <c r="Q20" s="110">
        <v>16.04</v>
      </c>
      <c r="R20" s="114"/>
    </row>
    <row r="21" spans="1:18" ht="12.75">
      <c r="A21" s="13"/>
      <c r="B21" s="13" t="s">
        <v>3</v>
      </c>
      <c r="C21" s="142">
        <v>7.024</v>
      </c>
      <c r="D21" s="142">
        <v>7.178</v>
      </c>
      <c r="E21" s="142">
        <v>7.244</v>
      </c>
      <c r="F21" s="142">
        <v>7.464</v>
      </c>
      <c r="G21" s="142">
        <v>7.621</v>
      </c>
      <c r="H21" s="142">
        <v>7.691</v>
      </c>
      <c r="I21" s="142">
        <v>7.178</v>
      </c>
      <c r="J21" s="35"/>
      <c r="K21" s="35"/>
      <c r="L21" s="36"/>
      <c r="M21" s="13"/>
      <c r="N21" s="145">
        <v>0.008</v>
      </c>
      <c r="O21" t="s">
        <v>3</v>
      </c>
      <c r="Q21" s="110">
        <v>30.07</v>
      </c>
      <c r="R21" s="114"/>
    </row>
    <row r="22" spans="1:18" ht="12.75">
      <c r="A22" s="13"/>
      <c r="B22" s="13" t="s">
        <v>4</v>
      </c>
      <c r="C22" s="142">
        <v>6.625</v>
      </c>
      <c r="D22" s="142">
        <v>6.501</v>
      </c>
      <c r="E22" s="142">
        <v>6.501</v>
      </c>
      <c r="F22" s="142">
        <v>6.501</v>
      </c>
      <c r="G22" s="142">
        <v>6.501</v>
      </c>
      <c r="H22" s="142">
        <v>7.112</v>
      </c>
      <c r="I22" s="142">
        <v>8.091</v>
      </c>
      <c r="J22" s="35"/>
      <c r="K22" s="35"/>
      <c r="L22" s="36"/>
      <c r="M22" s="13"/>
      <c r="N22" s="145">
        <v>0.154</v>
      </c>
      <c r="O22" t="s">
        <v>4</v>
      </c>
      <c r="Q22" s="110">
        <v>44.09</v>
      </c>
      <c r="R22" s="114"/>
    </row>
    <row r="23" spans="1:20" ht="12.75">
      <c r="A23" s="13"/>
      <c r="B23" s="13" t="s">
        <v>5</v>
      </c>
      <c r="C23" s="142">
        <v>1.418</v>
      </c>
      <c r="D23" s="142">
        <v>1.352</v>
      </c>
      <c r="E23" s="142">
        <v>1.312</v>
      </c>
      <c r="F23" s="142">
        <v>1.3</v>
      </c>
      <c r="G23" s="142">
        <v>1.324</v>
      </c>
      <c r="H23" s="142">
        <v>1.462</v>
      </c>
      <c r="I23" s="142">
        <v>1.991</v>
      </c>
      <c r="J23" s="35"/>
      <c r="K23" s="35"/>
      <c r="L23" s="36"/>
      <c r="M23" s="13"/>
      <c r="N23" s="145">
        <v>0.188</v>
      </c>
      <c r="O23" t="s">
        <v>5</v>
      </c>
      <c r="Q23" s="110">
        <v>58.12</v>
      </c>
      <c r="R23" s="111">
        <v>35.01</v>
      </c>
      <c r="T23" s="7"/>
    </row>
    <row r="24" spans="1:20" ht="12.75">
      <c r="A24" s="13"/>
      <c r="B24" s="13" t="s">
        <v>6</v>
      </c>
      <c r="C24" s="142">
        <v>2.319</v>
      </c>
      <c r="D24" s="142">
        <v>2.178</v>
      </c>
      <c r="E24" s="142">
        <v>2.113</v>
      </c>
      <c r="F24" s="142">
        <v>2.113</v>
      </c>
      <c r="G24" s="142">
        <v>2.113</v>
      </c>
      <c r="H24" s="142">
        <v>2.36</v>
      </c>
      <c r="I24" s="142">
        <v>3.243</v>
      </c>
      <c r="J24" s="35"/>
      <c r="K24" s="35"/>
      <c r="L24" s="36"/>
      <c r="M24" s="13"/>
      <c r="N24" s="145">
        <v>0.608</v>
      </c>
      <c r="O24" t="s">
        <v>6</v>
      </c>
      <c r="Q24" s="110">
        <v>58.12</v>
      </c>
      <c r="R24" s="111">
        <v>36.45</v>
      </c>
      <c r="T24" s="7"/>
    </row>
    <row r="25" spans="1:20" ht="12.75">
      <c r="A25" s="13"/>
      <c r="B25" s="13" t="s">
        <v>7</v>
      </c>
      <c r="C25" s="142">
        <v>0.857</v>
      </c>
      <c r="D25" s="142">
        <v>0.8</v>
      </c>
      <c r="E25" s="142">
        <v>0.766</v>
      </c>
      <c r="F25" s="142">
        <v>0.724</v>
      </c>
      <c r="G25" s="142">
        <v>0.69</v>
      </c>
      <c r="H25" s="142">
        <v>0.815</v>
      </c>
      <c r="I25" s="142">
        <v>1.213</v>
      </c>
      <c r="J25" s="35"/>
      <c r="K25" s="35"/>
      <c r="L25" s="36"/>
      <c r="M25" s="13"/>
      <c r="N25" s="145">
        <v>0.839</v>
      </c>
      <c r="O25" t="s">
        <v>7</v>
      </c>
      <c r="Q25" s="110">
        <v>72.15</v>
      </c>
      <c r="R25" s="111">
        <v>39.13</v>
      </c>
      <c r="T25" s="7"/>
    </row>
    <row r="26" spans="1:20" ht="12.75">
      <c r="A26" s="13"/>
      <c r="B26" s="13" t="s">
        <v>8</v>
      </c>
      <c r="C26" s="142">
        <v>0.842</v>
      </c>
      <c r="D26" s="142">
        <v>0.787</v>
      </c>
      <c r="E26" s="142">
        <v>0.757</v>
      </c>
      <c r="F26" s="142">
        <v>0.716</v>
      </c>
      <c r="G26" s="142">
        <v>0.681</v>
      </c>
      <c r="H26" s="142">
        <v>0.762</v>
      </c>
      <c r="I26" s="142">
        <v>1.151</v>
      </c>
      <c r="J26" s="35"/>
      <c r="K26" s="35"/>
      <c r="L26" s="36"/>
      <c r="M26" s="13"/>
      <c r="N26" s="145">
        <v>1.099</v>
      </c>
      <c r="O26" t="s">
        <v>8</v>
      </c>
      <c r="Q26" s="110">
        <v>72.15</v>
      </c>
      <c r="R26" s="111">
        <v>39.3</v>
      </c>
      <c r="T26" s="7"/>
    </row>
    <row r="27" spans="1:20" ht="12.75">
      <c r="A27" s="13"/>
      <c r="B27" s="13" t="s">
        <v>9</v>
      </c>
      <c r="C27" s="142">
        <v>0.968</v>
      </c>
      <c r="D27" s="142">
        <v>0.857</v>
      </c>
      <c r="E27" s="142">
        <v>0.771</v>
      </c>
      <c r="F27" s="142">
        <v>0.701</v>
      </c>
      <c r="G27" s="142">
        <v>0.647</v>
      </c>
      <c r="H27" s="142">
        <v>0.701</v>
      </c>
      <c r="I27" s="142">
        <v>1.268</v>
      </c>
      <c r="J27" s="35"/>
      <c r="K27" s="35"/>
      <c r="L27" s="36"/>
      <c r="M27" s="13"/>
      <c r="N27" s="145">
        <v>3.234</v>
      </c>
      <c r="O27" t="s">
        <v>9</v>
      </c>
      <c r="Q27" s="110">
        <v>86.17</v>
      </c>
      <c r="R27" s="111">
        <v>41.19</v>
      </c>
      <c r="T27" s="7"/>
    </row>
    <row r="28" spans="1:18" ht="12.75" hidden="1">
      <c r="A28" s="13"/>
      <c r="B28" s="13" t="s">
        <v>188</v>
      </c>
      <c r="C28" s="142"/>
      <c r="D28" s="142"/>
      <c r="E28" s="142"/>
      <c r="F28" s="142"/>
      <c r="G28" s="142"/>
      <c r="H28" s="142"/>
      <c r="I28" s="142"/>
      <c r="J28" s="35"/>
      <c r="K28" s="35"/>
      <c r="L28" s="36"/>
      <c r="M28" s="13"/>
      <c r="N28" s="145"/>
      <c r="O28" t="s">
        <v>188</v>
      </c>
      <c r="Q28" s="110">
        <v>100.2</v>
      </c>
      <c r="R28" s="141">
        <v>42.58334373829442</v>
      </c>
    </row>
    <row r="29" spans="1:18" ht="12.75" hidden="1">
      <c r="A29" s="13"/>
      <c r="B29" s="13" t="s">
        <v>189</v>
      </c>
      <c r="C29" s="142"/>
      <c r="D29" s="142"/>
      <c r="E29" s="142"/>
      <c r="F29" s="142"/>
      <c r="G29" s="142"/>
      <c r="H29" s="142"/>
      <c r="I29" s="142"/>
      <c r="J29" s="35"/>
      <c r="K29" s="35"/>
      <c r="L29" s="36"/>
      <c r="M29" s="13"/>
      <c r="N29" s="145"/>
      <c r="O29" t="s">
        <v>189</v>
      </c>
      <c r="Q29" s="110">
        <v>114.2</v>
      </c>
      <c r="R29" s="141">
        <v>44.19403171432138</v>
      </c>
    </row>
    <row r="30" spans="1:18" ht="12.75" hidden="1">
      <c r="A30" s="13"/>
      <c r="B30" s="13" t="s">
        <v>190</v>
      </c>
      <c r="C30" s="142"/>
      <c r="D30" s="142"/>
      <c r="E30" s="142"/>
      <c r="F30" s="142"/>
      <c r="G30" s="142"/>
      <c r="H30" s="142"/>
      <c r="I30" s="142"/>
      <c r="J30" s="35"/>
      <c r="K30" s="35"/>
      <c r="L30" s="36"/>
      <c r="M30" s="13"/>
      <c r="N30" s="145"/>
      <c r="O30" t="s">
        <v>190</v>
      </c>
      <c r="Q30" s="110">
        <v>128.3</v>
      </c>
      <c r="R30" s="141">
        <v>45.34898239480584</v>
      </c>
    </row>
    <row r="31" spans="1:18" ht="12.75" hidden="1">
      <c r="A31" s="13"/>
      <c r="B31" s="13" t="s">
        <v>191</v>
      </c>
      <c r="C31" s="142"/>
      <c r="D31" s="142"/>
      <c r="E31" s="142"/>
      <c r="F31" s="142"/>
      <c r="G31" s="142"/>
      <c r="H31" s="142"/>
      <c r="I31" s="142"/>
      <c r="J31" s="35"/>
      <c r="K31" s="35"/>
      <c r="L31" s="36"/>
      <c r="M31" s="13"/>
      <c r="N31" s="145"/>
      <c r="O31" t="s">
        <v>191</v>
      </c>
      <c r="Q31" s="110">
        <v>142.3</v>
      </c>
      <c r="R31" s="141">
        <v>45.67986015732301</v>
      </c>
    </row>
    <row r="32" spans="1:18" ht="13.5" hidden="1" thickBot="1">
      <c r="A32" s="13"/>
      <c r="B32" s="13" t="s">
        <v>192</v>
      </c>
      <c r="C32" s="142"/>
      <c r="D32" s="142"/>
      <c r="E32" s="142"/>
      <c r="F32" s="142"/>
      <c r="G32" s="142"/>
      <c r="H32" s="142"/>
      <c r="I32" s="142"/>
      <c r="J32" s="35"/>
      <c r="K32" s="35"/>
      <c r="L32" s="36"/>
      <c r="M32" s="13"/>
      <c r="N32" s="145"/>
      <c r="O32" t="s">
        <v>192</v>
      </c>
      <c r="Q32" s="112">
        <v>156.3</v>
      </c>
      <c r="R32" s="113">
        <v>46</v>
      </c>
    </row>
    <row r="33" spans="1:15" ht="12.75">
      <c r="A33" s="13"/>
      <c r="B33" s="13" t="str">
        <f>PlusFrac</f>
        <v>C7+</v>
      </c>
      <c r="C33" s="142">
        <v>9.529</v>
      </c>
      <c r="D33" s="142">
        <v>6.2</v>
      </c>
      <c r="E33" s="142">
        <v>3.9</v>
      </c>
      <c r="F33" s="142">
        <v>2.6</v>
      </c>
      <c r="G33" s="142">
        <v>2</v>
      </c>
      <c r="H33" s="142">
        <v>2</v>
      </c>
      <c r="I33" s="142">
        <v>13.8</v>
      </c>
      <c r="J33" s="35"/>
      <c r="K33" s="35"/>
      <c r="L33" s="36"/>
      <c r="M33" s="13"/>
      <c r="N33" s="145">
        <v>93.867</v>
      </c>
      <c r="O33" t="str">
        <f>B33</f>
        <v>C7+</v>
      </c>
    </row>
    <row r="34" spans="1:14" ht="12.75">
      <c r="A34" s="13"/>
      <c r="B34" s="1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13"/>
      <c r="N34" s="60"/>
    </row>
    <row r="35" spans="1:15" ht="12.75">
      <c r="A35" s="13"/>
      <c r="B35" s="13" t="str">
        <f>CONCATENATE(PlusFrac," molecular weight")</f>
        <v>C7+ molecular weight</v>
      </c>
      <c r="C35" s="35">
        <v>169.53</v>
      </c>
      <c r="D35" s="35">
        <v>149.703</v>
      </c>
      <c r="E35" s="35">
        <v>136.501</v>
      </c>
      <c r="F35" s="35">
        <v>126.627</v>
      </c>
      <c r="G35" s="35">
        <v>120.849</v>
      </c>
      <c r="H35" s="35">
        <v>116.4</v>
      </c>
      <c r="I35" s="35">
        <v>131.537</v>
      </c>
      <c r="J35" s="35"/>
      <c r="K35" s="35"/>
      <c r="L35" s="36"/>
      <c r="M35" s="13"/>
      <c r="N35" s="61">
        <v>189.3</v>
      </c>
      <c r="O35" t="str">
        <f>B35</f>
        <v>C7+ molecular weight</v>
      </c>
    </row>
    <row r="36" spans="1:15" ht="12.75">
      <c r="A36" s="13"/>
      <c r="B36" s="13" t="str">
        <f>CONCATENATE(PlusFrac," specific gravity")</f>
        <v>C7+ specific gravity</v>
      </c>
      <c r="C36" s="35">
        <v>0.8163</v>
      </c>
      <c r="D36" s="35">
        <v>0.8013</v>
      </c>
      <c r="E36" s="35">
        <v>0.7897</v>
      </c>
      <c r="F36" s="35">
        <v>0.7803</v>
      </c>
      <c r="G36" s="35">
        <v>0.7746</v>
      </c>
      <c r="H36" s="35">
        <v>0.7699</v>
      </c>
      <c r="I36" s="35">
        <v>0.785</v>
      </c>
      <c r="J36" s="35"/>
      <c r="K36" s="35"/>
      <c r="L36" s="36"/>
      <c r="M36" s="13"/>
      <c r="N36" s="61">
        <v>0.8276</v>
      </c>
      <c r="O36" t="str">
        <f>B36</f>
        <v>C7+ specific gravity</v>
      </c>
    </row>
    <row r="37" spans="1:14" ht="12.75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3"/>
      <c r="N37" s="38"/>
    </row>
    <row r="38" spans="1:14" ht="13.5" thickBot="1">
      <c r="A38" s="13"/>
      <c r="B38" s="16" t="s">
        <v>70</v>
      </c>
      <c r="C38" s="143">
        <f>IF(C10&gt;1,SUM(C17:C33),"")</f>
        <v>100.001</v>
      </c>
      <c r="D38" s="143">
        <f>IF(D10&gt;1,SUM(D17:D33),"")</f>
        <v>100</v>
      </c>
      <c r="E38" s="143">
        <f aca="true" t="shared" si="0" ref="E38:L38">IF(E10&gt;1,SUM(E17:E33),"")</f>
        <v>99.99900000000002</v>
      </c>
      <c r="F38" s="143">
        <f t="shared" si="0"/>
        <v>99.99799999999998</v>
      </c>
      <c r="G38" s="143">
        <f t="shared" si="0"/>
        <v>99.99900000000001</v>
      </c>
      <c r="H38" s="143">
        <f t="shared" si="0"/>
        <v>99.999</v>
      </c>
      <c r="I38" s="17">
        <f t="shared" si="0"/>
        <v>99.99999999999999</v>
      </c>
      <c r="J38" s="17">
        <f t="shared" si="0"/>
      </c>
      <c r="K38" s="17">
        <f t="shared" si="0"/>
      </c>
      <c r="L38" s="18">
        <f t="shared" si="0"/>
      </c>
      <c r="M38" s="13"/>
      <c r="N38" s="144">
        <f>SUM(N17:N33)</f>
        <v>99.99900000000001</v>
      </c>
    </row>
    <row r="39" spans="1:12" ht="12.75">
      <c r="A39" s="13"/>
      <c r="B39" s="14"/>
      <c r="C39" s="93"/>
      <c r="D39" s="93"/>
      <c r="E39" s="93"/>
      <c r="F39" s="93"/>
      <c r="G39" s="93"/>
      <c r="H39" s="93"/>
      <c r="I39" s="93"/>
      <c r="J39" s="93"/>
      <c r="K39" s="14"/>
      <c r="L39" s="15"/>
    </row>
    <row r="40" spans="1:12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2.7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5" ht="12.75">
      <c r="A42" s="13"/>
      <c r="B42" s="14" t="s">
        <v>142</v>
      </c>
      <c r="C42" s="95">
        <f>C35/C36</f>
        <v>207.68099963248804</v>
      </c>
      <c r="D42" s="95">
        <f aca="true" t="shared" si="1" ref="D42:I42">D35/D36</f>
        <v>186.8251591164358</v>
      </c>
      <c r="E42" s="95">
        <f t="shared" si="1"/>
        <v>172.8517158414588</v>
      </c>
      <c r="F42" s="95">
        <f t="shared" si="1"/>
        <v>162.27989234909649</v>
      </c>
      <c r="G42" s="95">
        <f t="shared" si="1"/>
        <v>156.01471727343147</v>
      </c>
      <c r="H42" s="95">
        <f t="shared" si="1"/>
        <v>151.18846603454995</v>
      </c>
      <c r="I42" s="95">
        <f t="shared" si="1"/>
        <v>167.56305732484077</v>
      </c>
      <c r="J42" s="14"/>
      <c r="K42" s="14"/>
      <c r="L42" s="15"/>
      <c r="N42">
        <f>(SUMPRODUCT(N17:N32,Mwref)+N33*N35)/100</f>
        <v>182.408496</v>
      </c>
      <c r="O42" s="138" t="s">
        <v>169</v>
      </c>
    </row>
    <row r="43" spans="1:12" ht="12.75">
      <c r="A43" s="13"/>
      <c r="B43" s="14" t="s">
        <v>193</v>
      </c>
      <c r="C43" s="14"/>
      <c r="D43" s="14">
        <f aca="true" t="shared" si="2" ref="D43:I43">D33*(D12-C12)/100</f>
        <v>0.494512</v>
      </c>
      <c r="E43" s="14">
        <f t="shared" si="2"/>
        <v>0.546156</v>
      </c>
      <c r="F43" s="14">
        <f t="shared" si="2"/>
        <v>0.4676100000000001</v>
      </c>
      <c r="G43" s="14">
        <f t="shared" si="2"/>
        <v>0.32587999999999995</v>
      </c>
      <c r="H43" s="14">
        <f t="shared" si="2"/>
        <v>0.3538399999999999</v>
      </c>
      <c r="I43" s="14">
        <f t="shared" si="2"/>
        <v>2.745372000000001</v>
      </c>
      <c r="J43" s="14"/>
      <c r="K43" s="14"/>
      <c r="L43" s="15"/>
    </row>
    <row r="44" spans="1:12" ht="12.75">
      <c r="A44" s="14"/>
      <c r="B44" s="14" t="s">
        <v>145</v>
      </c>
      <c r="C44" s="14">
        <v>0</v>
      </c>
      <c r="D44">
        <f>SUM($C43:D43)</f>
        <v>0.494512</v>
      </c>
      <c r="E44">
        <f>SUM($C43:E43)</f>
        <v>1.040668</v>
      </c>
      <c r="F44">
        <f>SUM($C43:F43)</f>
        <v>1.508278</v>
      </c>
      <c r="G44">
        <f>SUM($C43:G43)</f>
        <v>1.834158</v>
      </c>
      <c r="H44">
        <f>SUM($C43:H43)</f>
        <v>2.187998</v>
      </c>
      <c r="I44">
        <f>SUM($C43:I43)</f>
        <v>4.933370000000001</v>
      </c>
      <c r="J44">
        <f>SUM($C43:J43)</f>
        <v>4.933370000000001</v>
      </c>
      <c r="K44">
        <f>SUM($C43:K43)</f>
        <v>4.933370000000001</v>
      </c>
      <c r="L44">
        <f>SUM($C43:L43)</f>
        <v>4.933370000000001</v>
      </c>
    </row>
    <row r="45" spans="1:9" ht="12.75">
      <c r="A45" s="14"/>
      <c r="B45" s="14"/>
      <c r="C45" s="14"/>
      <c r="D45" s="20">
        <f aca="true" t="shared" si="3" ref="D45:I45">D44/$C$51</f>
        <v>0.051895476965054047</v>
      </c>
      <c r="E45" s="20">
        <f t="shared" si="3"/>
        <v>0.10921062021198447</v>
      </c>
      <c r="F45" s="20">
        <f t="shared" si="3"/>
        <v>0.15828292580543604</v>
      </c>
      <c r="G45" s="20">
        <f t="shared" si="3"/>
        <v>0.1924816874803232</v>
      </c>
      <c r="H45" s="20">
        <f t="shared" si="3"/>
        <v>0.2296146500157414</v>
      </c>
      <c r="I45" s="20">
        <f t="shared" si="3"/>
        <v>0.5177216916780356</v>
      </c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ht="12.75">
      <c r="B47" t="s">
        <v>143</v>
      </c>
      <c r="D47">
        <f>D43*D42</f>
        <v>92.3872830849869</v>
      </c>
      <c r="E47">
        <f aca="true" t="shared" si="4" ref="E47:L47">E43*E42</f>
        <v>94.40400171710776</v>
      </c>
      <c r="F47">
        <f t="shared" si="4"/>
        <v>75.88370046136102</v>
      </c>
      <c r="G47">
        <f t="shared" si="4"/>
        <v>50.84207606506584</v>
      </c>
      <c r="H47">
        <f t="shared" si="4"/>
        <v>53.496526821665135</v>
      </c>
      <c r="I47">
        <f t="shared" si="4"/>
        <v>460.0229258140129</v>
      </c>
      <c r="J47">
        <f t="shared" si="4"/>
        <v>0</v>
      </c>
      <c r="K47">
        <f t="shared" si="4"/>
        <v>0</v>
      </c>
      <c r="L47">
        <f t="shared" si="4"/>
        <v>0</v>
      </c>
    </row>
    <row r="48" spans="2:9" ht="12.75">
      <c r="B48" t="s">
        <v>144</v>
      </c>
      <c r="D48">
        <f>SUM($C$47:D47)</f>
        <v>92.3872830849869</v>
      </c>
      <c r="E48">
        <f>SUM($C$47:E47)</f>
        <v>186.79128480209465</v>
      </c>
      <c r="F48">
        <f>SUM($C$47:F47)</f>
        <v>262.67498526345565</v>
      </c>
      <c r="G48">
        <f>SUM($C$47:G47)</f>
        <v>313.5170613285215</v>
      </c>
      <c r="H48">
        <f>SUM($C$47:H47)</f>
        <v>367.01358815018665</v>
      </c>
      <c r="I48">
        <f>SUM($C$47:I47)</f>
        <v>827.0365139641996</v>
      </c>
    </row>
    <row r="49" spans="4:9" ht="12.75">
      <c r="D49" s="20">
        <f aca="true" t="shared" si="5" ref="D49:I49">D48/$C$52</f>
        <v>0.046684004596359234</v>
      </c>
      <c r="E49" s="20">
        <f t="shared" si="5"/>
        <v>0.094387072625993</v>
      </c>
      <c r="F49" s="20">
        <f t="shared" si="5"/>
        <v>0.13273169001092175</v>
      </c>
      <c r="G49" s="20">
        <f t="shared" si="5"/>
        <v>0.15842258201958262</v>
      </c>
      <c r="H49" s="20">
        <f t="shared" si="5"/>
        <v>0.18545478840814464</v>
      </c>
      <c r="I49" s="20">
        <f t="shared" si="5"/>
        <v>0.41790791037490416</v>
      </c>
    </row>
    <row r="51" spans="2:3" ht="12.75">
      <c r="B51" t="s">
        <v>146</v>
      </c>
      <c r="C51">
        <f>C33</f>
        <v>9.529</v>
      </c>
    </row>
    <row r="52" spans="2:3" ht="12.75">
      <c r="B52" t="s">
        <v>130</v>
      </c>
      <c r="C52">
        <f>C51*C42</f>
        <v>1978.9922454979785</v>
      </c>
    </row>
  </sheetData>
  <dataValidations count="1">
    <dataValidation type="whole" allowBlank="1" showInputMessage="1" showErrorMessage="1" sqref="C5:C8">
      <formula1>2</formula1>
      <formula2>10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N46"/>
  <sheetViews>
    <sheetView workbookViewId="0" topLeftCell="A1">
      <selection activeCell="F25" sqref="F25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9.28125" style="0" customWidth="1"/>
    <col min="13" max="14" width="9.140625" style="0" hidden="1" customWidth="1"/>
  </cols>
  <sheetData>
    <row r="1" ht="15.75">
      <c r="B1" s="90" t="s">
        <v>128</v>
      </c>
    </row>
    <row r="2" ht="13.5" thickBot="1"/>
    <row r="3" spans="2:10" ht="13.5" thickBot="1">
      <c r="B3" s="68" t="s">
        <v>195</v>
      </c>
      <c r="C3" s="69"/>
      <c r="D3" s="69"/>
      <c r="E3" s="69"/>
      <c r="F3" s="69"/>
      <c r="G3" s="69"/>
      <c r="H3" s="69"/>
      <c r="I3" s="70"/>
      <c r="J3" s="14"/>
    </row>
    <row r="4" spans="2:10" ht="13.5" thickBot="1">
      <c r="B4" s="14"/>
      <c r="C4" s="14"/>
      <c r="D4" s="14"/>
      <c r="E4" s="14"/>
      <c r="F4" s="14"/>
      <c r="G4" s="14"/>
      <c r="H4" s="14"/>
      <c r="I4" s="14"/>
      <c r="J4" s="14"/>
    </row>
    <row r="5" spans="2:11" ht="13.5" thickBot="1">
      <c r="B5" s="41" t="s">
        <v>75</v>
      </c>
      <c r="C5" s="86"/>
      <c r="D5" s="86"/>
      <c r="E5" s="42">
        <v>263</v>
      </c>
      <c r="H5" s="14"/>
      <c r="I5" s="14"/>
      <c r="J5" s="14"/>
      <c r="K5" s="14"/>
    </row>
    <row r="6" ht="13.5" thickBot="1"/>
    <row r="7" spans="2:5" ht="13.5" thickBot="1">
      <c r="B7" s="57" t="s">
        <v>61</v>
      </c>
      <c r="C7" s="87"/>
      <c r="D7" s="87"/>
      <c r="E7" s="42">
        <v>10440</v>
      </c>
    </row>
    <row r="8" ht="13.5" thickBot="1"/>
    <row r="9" spans="2:5" ht="27.75" customHeight="1" thickBot="1">
      <c r="B9" s="147" t="s">
        <v>107</v>
      </c>
      <c r="C9" s="148"/>
      <c r="D9" s="148"/>
      <c r="E9" s="71" t="s">
        <v>105</v>
      </c>
    </row>
    <row r="12" spans="2:5" ht="15">
      <c r="B12" s="89" t="s">
        <v>53</v>
      </c>
      <c r="E12" s="8"/>
    </row>
    <row r="13" ht="12.75">
      <c r="B13" t="s">
        <v>54</v>
      </c>
    </row>
    <row r="14" ht="12.75">
      <c r="B14" t="s">
        <v>59</v>
      </c>
    </row>
    <row r="15" ht="13.5" thickBot="1"/>
    <row r="16" spans="2:14" ht="12.75">
      <c r="B16" s="10" t="s">
        <v>85</v>
      </c>
      <c r="C16" s="12" t="s">
        <v>56</v>
      </c>
      <c r="M16" s="10" t="s">
        <v>85</v>
      </c>
      <c r="N16" s="12" t="s">
        <v>131</v>
      </c>
    </row>
    <row r="17" spans="2:14" ht="12.75">
      <c r="B17" s="13" t="s">
        <v>55</v>
      </c>
      <c r="C17" s="15" t="s">
        <v>57</v>
      </c>
      <c r="M17" s="30" t="s">
        <v>64</v>
      </c>
      <c r="N17" s="91" t="s">
        <v>63</v>
      </c>
    </row>
    <row r="18" spans="2:14" ht="12.75">
      <c r="B18" s="43">
        <v>10440</v>
      </c>
      <c r="C18" s="36">
        <v>0.83715</v>
      </c>
      <c r="M18" s="13">
        <f>-B18</f>
        <v>-10440</v>
      </c>
      <c r="N18" s="15">
        <f>C18</f>
        <v>0.83715</v>
      </c>
    </row>
    <row r="19" spans="2:14" ht="12.75">
      <c r="B19" s="43">
        <v>5535</v>
      </c>
      <c r="C19" s="36">
        <v>1</v>
      </c>
      <c r="M19" s="13">
        <f aca="true" t="shared" si="0" ref="M19:M25">-B19</f>
        <v>-5535</v>
      </c>
      <c r="N19" s="15">
        <f aca="true" t="shared" si="1" ref="N19:N25">C19</f>
        <v>1</v>
      </c>
    </row>
    <row r="20" spans="2:14" ht="12.75">
      <c r="B20" s="43"/>
      <c r="C20" s="36"/>
      <c r="M20" s="13">
        <f t="shared" si="0"/>
        <v>0</v>
      </c>
      <c r="N20" s="15">
        <f t="shared" si="1"/>
        <v>0</v>
      </c>
    </row>
    <row r="21" spans="2:14" ht="12.75">
      <c r="B21" s="43"/>
      <c r="C21" s="36"/>
      <c r="M21" s="13">
        <f t="shared" si="0"/>
        <v>0</v>
      </c>
      <c r="N21" s="15">
        <f t="shared" si="1"/>
        <v>0</v>
      </c>
    </row>
    <row r="22" spans="2:14" ht="12.75">
      <c r="B22" s="43"/>
      <c r="C22" s="36"/>
      <c r="M22" s="13">
        <f t="shared" si="0"/>
        <v>0</v>
      </c>
      <c r="N22" s="15">
        <f t="shared" si="1"/>
        <v>0</v>
      </c>
    </row>
    <row r="23" spans="2:14" ht="12.75">
      <c r="B23" s="43"/>
      <c r="C23" s="36"/>
      <c r="M23" s="13">
        <f t="shared" si="0"/>
        <v>0</v>
      </c>
      <c r="N23" s="15">
        <f t="shared" si="1"/>
        <v>0</v>
      </c>
    </row>
    <row r="24" spans="2:14" ht="12.75">
      <c r="B24" s="43"/>
      <c r="C24" s="36"/>
      <c r="M24" s="13">
        <f t="shared" si="0"/>
        <v>0</v>
      </c>
      <c r="N24" s="15">
        <f t="shared" si="1"/>
        <v>0</v>
      </c>
    </row>
    <row r="25" spans="2:14" ht="13.5" thickBot="1">
      <c r="B25" s="43"/>
      <c r="C25" s="36"/>
      <c r="M25" s="16">
        <f t="shared" si="0"/>
        <v>0</v>
      </c>
      <c r="N25" s="28">
        <f t="shared" si="1"/>
        <v>0</v>
      </c>
    </row>
    <row r="26" spans="2:3" ht="12.75">
      <c r="B26" s="43"/>
      <c r="C26" s="36"/>
    </row>
    <row r="27" spans="2:3" ht="13.5" thickBot="1">
      <c r="B27" s="44"/>
      <c r="C27" s="45"/>
    </row>
    <row r="34" ht="13.5" thickBot="1"/>
    <row r="35" spans="2:3" ht="12.75">
      <c r="B35" s="10" t="s">
        <v>104</v>
      </c>
      <c r="C35" s="12"/>
    </row>
    <row r="36" spans="2:3" ht="12.75">
      <c r="B36" s="13" t="s">
        <v>105</v>
      </c>
      <c r="C36" s="15"/>
    </row>
    <row r="37" spans="2:3" ht="12.75">
      <c r="B37" s="13" t="s">
        <v>106</v>
      </c>
      <c r="C37" s="15"/>
    </row>
    <row r="38" spans="2:3" ht="12.75">
      <c r="B38" s="13" t="s">
        <v>10</v>
      </c>
      <c r="C38" s="15"/>
    </row>
    <row r="39" spans="2:3" ht="12.75">
      <c r="B39" s="13"/>
      <c r="C39" s="15"/>
    </row>
    <row r="40" spans="2:3" ht="12.75">
      <c r="B40" s="13" t="s">
        <v>108</v>
      </c>
      <c r="C40" s="15">
        <f>MATCH(E9,B35:B38)+3</f>
        <v>5</v>
      </c>
    </row>
    <row r="41" spans="2:3" ht="13.5" thickBot="1">
      <c r="B41" s="16"/>
      <c r="C41" s="28"/>
    </row>
    <row r="43" ht="12.75">
      <c r="B43" t="str">
        <f>CONCATENATE("Calculated oil gas ratio - assumes surface oil = ",E9)</f>
        <v>Calculated oil gas ratio - assumes surface oil = C5+</v>
      </c>
    </row>
    <row r="44" ht="13.5" thickBot="1"/>
    <row r="45" spans="2:4" ht="12.75">
      <c r="B45" s="75" t="s">
        <v>119</v>
      </c>
      <c r="C45" s="12">
        <v>520</v>
      </c>
      <c r="D45" t="s">
        <v>16</v>
      </c>
    </row>
    <row r="46" spans="2:4" ht="13.5" thickBot="1">
      <c r="B46" s="76" t="s">
        <v>120</v>
      </c>
      <c r="C46" s="28">
        <v>14.7</v>
      </c>
      <c r="D46" t="s">
        <v>127</v>
      </c>
    </row>
  </sheetData>
  <mergeCells count="1">
    <mergeCell ref="B9:D9"/>
  </mergeCells>
  <dataValidations count="2">
    <dataValidation type="decimal" allowBlank="1" showInputMessage="1" showErrorMessage="1" errorTitle="Initial pressure error" error="Initial pressure must be greater than dew point, and less than max pressure in CCE table" sqref="E7">
      <formula1>R8</formula1>
      <formula2>Q12</formula2>
    </dataValidation>
    <dataValidation type="list" allowBlank="1" showInputMessage="1" showErrorMessage="1" sqref="E9">
      <formula1>$B$35:$B$38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3:L28"/>
  <sheetViews>
    <sheetView workbookViewId="0" topLeftCell="A1">
      <selection activeCell="I26" sqref="I26"/>
    </sheetView>
  </sheetViews>
  <sheetFormatPr defaultColWidth="9.140625" defaultRowHeight="12.75"/>
  <cols>
    <col min="3" max="3" width="10.57421875" style="0" customWidth="1"/>
    <col min="4" max="4" width="10.140625" style="0" customWidth="1"/>
    <col min="6" max="6" width="12.28125" style="0" customWidth="1"/>
    <col min="8" max="8" width="9.8515625" style="0" customWidth="1"/>
  </cols>
  <sheetData>
    <row r="3" spans="2:7" ht="12.75">
      <c r="B3" s="9" t="s">
        <v>158</v>
      </c>
      <c r="G3" s="9" t="s">
        <v>159</v>
      </c>
    </row>
    <row r="4" spans="2:7" ht="12.75">
      <c r="B4" t="s">
        <v>161</v>
      </c>
      <c r="G4" t="s">
        <v>162</v>
      </c>
    </row>
    <row r="6" spans="6:10" ht="12.75">
      <c r="F6" t="s">
        <v>163</v>
      </c>
      <c r="I6" s="7">
        <f>INDEX('CVD analysis'!C49:K49,N_pres)</f>
        <v>44.55404367634963</v>
      </c>
      <c r="J6" t="s">
        <v>164</v>
      </c>
    </row>
    <row r="7" spans="6:11" ht="12.75">
      <c r="F7" t="s">
        <v>165</v>
      </c>
      <c r="I7" s="137">
        <f>62.43*K7</f>
        <v>51.280002</v>
      </c>
      <c r="J7" t="s">
        <v>164</v>
      </c>
      <c r="K7">
        <v>0.8214</v>
      </c>
    </row>
    <row r="9" spans="3:12" ht="12.75">
      <c r="C9" s="109" t="s">
        <v>99</v>
      </c>
      <c r="D9" s="9" t="s">
        <v>160</v>
      </c>
      <c r="H9" s="109" t="s">
        <v>99</v>
      </c>
      <c r="I9" s="9" t="s">
        <v>160</v>
      </c>
      <c r="J9" s="9"/>
      <c r="K9" s="9"/>
      <c r="L9" s="9"/>
    </row>
    <row r="10" spans="2:12" ht="12.75">
      <c r="B10" t="str">
        <f>'CVD Data'!B17</f>
        <v>N2</v>
      </c>
      <c r="C10" s="136">
        <f>'CVD Data'!N17</f>
        <v>0</v>
      </c>
      <c r="D10" s="2">
        <f>INDEX('CVD analysis'!C96:L96,N_pres)</f>
        <v>0.10318197046067223</v>
      </c>
      <c r="G10" t="str">
        <f>'CVD Data'!B17</f>
        <v>N2</v>
      </c>
      <c r="H10" s="136">
        <f>'CVD Data'!C17</f>
        <v>0.393</v>
      </c>
      <c r="I10" s="2">
        <f>'CVD analysis'!C138</f>
        <v>0.38686510356814124</v>
      </c>
      <c r="J10" s="2"/>
      <c r="K10" s="2"/>
      <c r="L10" s="2"/>
    </row>
    <row r="11" spans="2:12" ht="12.75">
      <c r="B11" t="str">
        <f>'CVD Data'!B18</f>
        <v>CO2</v>
      </c>
      <c r="C11" s="136">
        <f>'CVD Data'!N18</f>
        <v>0</v>
      </c>
      <c r="D11" s="2">
        <f>INDEX('CVD analysis'!C97:L97,N_pres)</f>
        <v>0.7308376018129433</v>
      </c>
      <c r="G11" t="str">
        <f>'CVD Data'!B18</f>
        <v>CO2</v>
      </c>
      <c r="H11" s="136">
        <f>'CVD Data'!C18</f>
        <v>1.776</v>
      </c>
      <c r="I11" s="2">
        <f>'CVD analysis'!C139</f>
        <v>1.7327007459159514</v>
      </c>
      <c r="J11" s="2"/>
      <c r="K11" s="2"/>
      <c r="L11" s="2"/>
    </row>
    <row r="12" spans="2:12" ht="12.75">
      <c r="B12" t="str">
        <f>'CVD Data'!B19</f>
        <v>H2S</v>
      </c>
      <c r="C12" s="136">
        <f>'CVD Data'!N19</f>
        <v>0</v>
      </c>
      <c r="D12" s="2">
        <f>INDEX('CVD analysis'!C98:L98,N_pres)</f>
        <v>0</v>
      </c>
      <c r="G12" t="str">
        <f>'CVD Data'!B19</f>
        <v>H2S</v>
      </c>
      <c r="H12" s="136">
        <f>'CVD Data'!C19</f>
        <v>0</v>
      </c>
      <c r="I12" s="2">
        <f>'CVD analysis'!C140</f>
        <v>0</v>
      </c>
      <c r="J12" s="2"/>
      <c r="K12" s="2"/>
      <c r="L12" s="2"/>
    </row>
    <row r="13" spans="2:12" ht="12.75">
      <c r="B13" t="str">
        <f>'CVD Data'!B20</f>
        <v>C1</v>
      </c>
      <c r="C13" s="136">
        <f>'CVD Data'!N20</f>
        <v>0.002</v>
      </c>
      <c r="D13" s="2">
        <f>INDEX('CVD analysis'!C99:L99,N_pres)</f>
        <v>13.273940857711361</v>
      </c>
      <c r="G13" t="str">
        <f>'CVD Data'!B20</f>
        <v>C1</v>
      </c>
      <c r="H13" s="136">
        <f>'CVD Data'!C20</f>
        <v>68.25</v>
      </c>
      <c r="I13" s="2">
        <f>'CVD analysis'!C141</f>
        <v>67.45743854997724</v>
      </c>
      <c r="J13" s="2"/>
      <c r="K13" s="2"/>
      <c r="L13" s="2"/>
    </row>
    <row r="14" spans="2:12" ht="12.75">
      <c r="B14" t="str">
        <f>'CVD Data'!B21</f>
        <v>C2</v>
      </c>
      <c r="C14" s="136">
        <f>'CVD Data'!N21</f>
        <v>0.008</v>
      </c>
      <c r="D14" s="2">
        <f>INDEX('CVD analysis'!C100:L100,N_pres)</f>
        <v>0.7535021993522479</v>
      </c>
      <c r="G14" t="str">
        <f>'CVD Data'!B21</f>
        <v>C2</v>
      </c>
      <c r="H14" s="136">
        <f>'CVD Data'!C21</f>
        <v>7.024</v>
      </c>
      <c r="I14" s="2">
        <f>'CVD analysis'!C142</f>
        <v>6.97871183905544</v>
      </c>
      <c r="J14" s="2"/>
      <c r="K14" s="2"/>
      <c r="L14" s="2"/>
    </row>
    <row r="15" spans="2:12" ht="12.75">
      <c r="B15" t="str">
        <f>'CVD Data'!B22</f>
        <v>C3</v>
      </c>
      <c r="C15" s="136">
        <f>'CVD Data'!N22</f>
        <v>0.154</v>
      </c>
      <c r="D15" s="2">
        <f>INDEX('CVD analysis'!C101:L101,N_pres)</f>
        <v>1.3149334828029289</v>
      </c>
      <c r="G15" t="str">
        <f>'CVD Data'!B22</f>
        <v>C3</v>
      </c>
      <c r="H15" s="136">
        <f>'CVD Data'!C22</f>
        <v>6.625</v>
      </c>
      <c r="I15" s="2">
        <f>'CVD analysis'!C143</f>
        <v>6.555126745821902</v>
      </c>
      <c r="J15" s="2"/>
      <c r="K15" s="2"/>
      <c r="L15" s="2"/>
    </row>
    <row r="16" spans="2:12" ht="12.75">
      <c r="B16" t="str">
        <f>'CVD Data'!B23</f>
        <v>iC4</v>
      </c>
      <c r="C16" s="136">
        <f>'CVD Data'!N23</f>
        <v>0.188</v>
      </c>
      <c r="D16" s="2">
        <f>INDEX('CVD analysis'!C102:L102,N_pres)</f>
        <v>0.2828963851533318</v>
      </c>
      <c r="G16" t="str">
        <f>'CVD Data'!B23</f>
        <v>iC4</v>
      </c>
      <c r="H16" s="136">
        <f>'CVD Data'!C23</f>
        <v>1.418</v>
      </c>
      <c r="I16" s="2">
        <f>'CVD analysis'!C144</f>
        <v>1.4120512950846529</v>
      </c>
      <c r="J16" s="2"/>
      <c r="K16" s="2"/>
      <c r="L16" s="2"/>
    </row>
    <row r="17" spans="2:12" ht="12.75">
      <c r="B17" t="str">
        <f>'CVD Data'!B24</f>
        <v>nC4</v>
      </c>
      <c r="C17" s="136">
        <f>'CVD Data'!N24</f>
        <v>0.608</v>
      </c>
      <c r="D17" s="2">
        <f>INDEX('CVD analysis'!C103:L103,N_pres)</f>
        <v>0.9079780693303247</v>
      </c>
      <c r="G17" t="str">
        <f>'CVD Data'!B24</f>
        <v>nC4</v>
      </c>
      <c r="H17" s="136">
        <f>'CVD Data'!C24</f>
        <v>2.319</v>
      </c>
      <c r="I17" s="2">
        <f>'CVD analysis'!C145</f>
        <v>2.3008163371703048</v>
      </c>
      <c r="J17" s="2"/>
      <c r="K17" s="2"/>
      <c r="L17" s="2"/>
    </row>
    <row r="18" spans="2:12" ht="12.75">
      <c r="B18" t="str">
        <f>'CVD Data'!B25</f>
        <v>iC5</v>
      </c>
      <c r="C18" s="136">
        <f>'CVD Data'!N25</f>
        <v>0.839</v>
      </c>
      <c r="D18" s="2">
        <f>INDEX('CVD analysis'!C104:L104,N_pres)</f>
        <v>0.9254930872288529</v>
      </c>
      <c r="G18" t="str">
        <f>'CVD Data'!B25</f>
        <v>iC5</v>
      </c>
      <c r="H18" s="136">
        <f>'CVD Data'!C25</f>
        <v>0.857</v>
      </c>
      <c r="I18" s="2">
        <f>'CVD analysis'!C146</f>
        <v>0.8518230547596561</v>
      </c>
      <c r="J18" s="2"/>
      <c r="K18" s="2"/>
      <c r="L18" s="2"/>
    </row>
    <row r="19" spans="2:12" ht="12.75">
      <c r="B19" t="str">
        <f>'CVD Data'!B26</f>
        <v>nC5</v>
      </c>
      <c r="C19" s="136">
        <f>'CVD Data'!N26</f>
        <v>1.099</v>
      </c>
      <c r="D19" s="2">
        <f>INDEX('CVD analysis'!C105:L105,N_pres)</f>
        <v>1.1310278334326573</v>
      </c>
      <c r="G19" t="str">
        <f>'CVD Data'!B26</f>
        <v>nC5</v>
      </c>
      <c r="H19" s="136">
        <f>'CVD Data'!C26</f>
        <v>0.842</v>
      </c>
      <c r="I19" s="2">
        <f>'CVD analysis'!C147</f>
        <v>0.8400860382553534</v>
      </c>
      <c r="J19" s="2"/>
      <c r="K19" s="2"/>
      <c r="L19" s="2"/>
    </row>
    <row r="20" spans="2:12" ht="12.75">
      <c r="B20" t="str">
        <f>'CVD Data'!B27</f>
        <v>C6</v>
      </c>
      <c r="C20" s="136">
        <f>'CVD Data'!N27</f>
        <v>3.234</v>
      </c>
      <c r="D20" s="2">
        <f>INDEX('CVD analysis'!C106:L106,N_pres)</f>
        <v>3.0678981303489583</v>
      </c>
      <c r="G20" t="str">
        <f>'CVD Data'!B27</f>
        <v>C6</v>
      </c>
      <c r="H20" s="136">
        <f>'CVD Data'!C27</f>
        <v>0.968</v>
      </c>
      <c r="I20" s="2">
        <f>'CVD analysis'!C148</f>
        <v>0.9781056032687593</v>
      </c>
      <c r="J20" s="2"/>
      <c r="K20" s="2"/>
      <c r="L20" s="2"/>
    </row>
    <row r="21" spans="2:12" ht="12.75" hidden="1">
      <c r="B21" t="str">
        <f>'CVD Data'!B28</f>
        <v>C7</v>
      </c>
      <c r="C21" s="136">
        <f>'CVD Data'!N28</f>
        <v>0</v>
      </c>
      <c r="D21" s="2">
        <f>INDEX('CVD analysis'!C107:L107,N_pres)</f>
        <v>0</v>
      </c>
      <c r="G21" t="str">
        <f>'CVD Data'!B28</f>
        <v>C7</v>
      </c>
      <c r="H21" s="136">
        <f>'CVD Data'!C28</f>
        <v>0</v>
      </c>
      <c r="I21" s="2">
        <f>'CVD analysis'!C149</f>
        <v>0</v>
      </c>
      <c r="J21" s="2"/>
      <c r="K21" s="2"/>
      <c r="L21" s="2"/>
    </row>
    <row r="22" spans="2:12" ht="12.75" hidden="1">
      <c r="B22" t="str">
        <f>'CVD Data'!B29</f>
        <v>C8</v>
      </c>
      <c r="C22" s="136">
        <f>'CVD Data'!N29</f>
        <v>0</v>
      </c>
      <c r="D22" s="2">
        <f>INDEX('CVD analysis'!C108:L108,N_pres)</f>
        <v>0</v>
      </c>
      <c r="G22" t="str">
        <f>'CVD Data'!B29</f>
        <v>C8</v>
      </c>
      <c r="H22" s="136">
        <f>'CVD Data'!C29</f>
        <v>0</v>
      </c>
      <c r="I22" s="2">
        <f>'CVD analysis'!C150</f>
        <v>0</v>
      </c>
      <c r="J22" s="2"/>
      <c r="K22" s="2"/>
      <c r="L22" s="2"/>
    </row>
    <row r="23" spans="2:12" ht="12.75" hidden="1">
      <c r="B23" t="str">
        <f>'CVD Data'!B30</f>
        <v>C9</v>
      </c>
      <c r="C23" s="136">
        <f>'CVD Data'!N30</f>
        <v>0</v>
      </c>
      <c r="D23" s="2">
        <f>INDEX('CVD analysis'!C109:L109,N_pres)</f>
        <v>0</v>
      </c>
      <c r="G23" t="str">
        <f>'CVD Data'!B30</f>
        <v>C9</v>
      </c>
      <c r="H23" s="136">
        <f>'CVD Data'!C30</f>
        <v>0</v>
      </c>
      <c r="I23" s="2">
        <f>'CVD analysis'!C151</f>
        <v>0</v>
      </c>
      <c r="J23" s="2"/>
      <c r="K23" s="2"/>
      <c r="L23" s="2"/>
    </row>
    <row r="24" spans="2:12" ht="12.75" hidden="1">
      <c r="B24" t="str">
        <f>'CVD Data'!B31</f>
        <v>C10</v>
      </c>
      <c r="C24" s="136">
        <f>'CVD Data'!N31</f>
        <v>0</v>
      </c>
      <c r="D24" s="2">
        <f>INDEX('CVD analysis'!C110:L110,N_pres)</f>
        <v>0</v>
      </c>
      <c r="G24" t="str">
        <f>'CVD Data'!B31</f>
        <v>C10</v>
      </c>
      <c r="H24" s="136">
        <f>'CVD Data'!C31</f>
        <v>0</v>
      </c>
      <c r="I24" s="2">
        <f>'CVD analysis'!C152</f>
        <v>0</v>
      </c>
      <c r="J24" s="2"/>
      <c r="K24" s="2"/>
      <c r="L24" s="2"/>
    </row>
    <row r="25" spans="2:12" ht="12.75" hidden="1">
      <c r="B25" t="str">
        <f>'CVD Data'!B32</f>
        <v>C11</v>
      </c>
      <c r="C25" s="136">
        <f>'CVD Data'!N32</f>
        <v>0</v>
      </c>
      <c r="D25" s="2">
        <f>INDEX('CVD analysis'!C111:L111,N_pres)</f>
        <v>0</v>
      </c>
      <c r="G25" t="str">
        <f>'CVD Data'!B32</f>
        <v>C11</v>
      </c>
      <c r="H25" s="136">
        <f>'CVD Data'!C32</f>
        <v>0</v>
      </c>
      <c r="I25" s="2">
        <f>'CVD analysis'!C153</f>
        <v>0</v>
      </c>
      <c r="J25" s="2"/>
      <c r="K25" s="2"/>
      <c r="L25" s="2"/>
    </row>
    <row r="26" spans="2:12" ht="12.75">
      <c r="B26" t="str">
        <f>'CVD Data'!B33</f>
        <v>C7+</v>
      </c>
      <c r="C26" s="136">
        <f>'CVD Data'!N33</f>
        <v>93.867</v>
      </c>
      <c r="D26" s="2">
        <f>INDEX('CVD analysis'!C112:L112,N_pres)</f>
        <v>77.50831038236572</v>
      </c>
      <c r="G26" t="str">
        <f>'CVD Data'!B33</f>
        <v>C7+</v>
      </c>
      <c r="H26" s="136">
        <f>'CVD Data'!C33</f>
        <v>9.529</v>
      </c>
      <c r="I26" s="2">
        <f>'CVD analysis'!C154</f>
        <v>10.505376103819808</v>
      </c>
      <c r="J26" s="2"/>
      <c r="K26" s="2"/>
      <c r="L26" s="2"/>
    </row>
    <row r="27" spans="3:8" ht="12.75">
      <c r="C27" s="135"/>
      <c r="H27" s="135"/>
    </row>
    <row r="28" spans="3:12" ht="12.75">
      <c r="C28" s="136">
        <f>SUM(C10:C26)</f>
        <v>99.99900000000001</v>
      </c>
      <c r="D28" s="2">
        <f>SUM(D10:D26)</f>
        <v>100</v>
      </c>
      <c r="H28" s="136">
        <f>SUM(H10:H26)</f>
        <v>100.001</v>
      </c>
      <c r="I28" s="2">
        <f>SUM(I10:I26)</f>
        <v>99.9991014166972</v>
      </c>
      <c r="J28" s="2"/>
      <c r="K28" s="2"/>
      <c r="L28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P46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9" max="9" width="9.140625" style="0" customWidth="1"/>
    <col min="10" max="12" width="9.140625" style="0" hidden="1" customWidth="1"/>
  </cols>
  <sheetData>
    <row r="1" ht="18">
      <c r="A1" s="29" t="s">
        <v>124</v>
      </c>
    </row>
    <row r="3" ht="13.5" thickBot="1"/>
    <row r="4" spans="1:12" ht="12.75">
      <c r="A4" s="10" t="s">
        <v>125</v>
      </c>
      <c r="B4" s="85"/>
      <c r="C4" s="11">
        <f>'CVD Data'!C10</f>
        <v>5535</v>
      </c>
      <c r="D4" s="11">
        <f>'CVD Data'!D10</f>
        <v>4500</v>
      </c>
      <c r="E4" s="11">
        <f>'CVD Data'!E10</f>
        <v>3500</v>
      </c>
      <c r="F4" s="11">
        <f>'CVD Data'!F10</f>
        <v>2500</v>
      </c>
      <c r="G4" s="11">
        <f>'CVD Data'!G10</f>
        <v>1700</v>
      </c>
      <c r="H4" s="11">
        <f>'CVD Data'!H10</f>
        <v>900</v>
      </c>
      <c r="I4" s="11">
        <f>'CVD Data'!I10</f>
        <v>2</v>
      </c>
      <c r="J4" s="11">
        <f>'CVD Data'!J10</f>
        <v>0</v>
      </c>
      <c r="K4" s="11">
        <f>'CVD Data'!K10</f>
        <v>0</v>
      </c>
      <c r="L4" s="12">
        <f>'CVD Data'!L10</f>
        <v>0</v>
      </c>
    </row>
    <row r="5" spans="1:12" ht="12.75">
      <c r="A5" s="13" t="s">
        <v>125</v>
      </c>
      <c r="B5" s="92" t="s">
        <v>12</v>
      </c>
      <c r="C5" s="14">
        <f>C4+Pstd</f>
        <v>5549.7</v>
      </c>
      <c r="D5" s="14">
        <f aca="true" t="shared" si="0" ref="D5:L5">D4+Pstd</f>
        <v>4514.7</v>
      </c>
      <c r="E5" s="14">
        <f t="shared" si="0"/>
        <v>3514.7</v>
      </c>
      <c r="F5" s="14">
        <f t="shared" si="0"/>
        <v>2514.7</v>
      </c>
      <c r="G5" s="14">
        <f t="shared" si="0"/>
        <v>1714.7</v>
      </c>
      <c r="H5" s="14">
        <f t="shared" si="0"/>
        <v>914.7</v>
      </c>
      <c r="I5" s="14">
        <f t="shared" si="0"/>
        <v>16.7</v>
      </c>
      <c r="J5" s="14">
        <f t="shared" si="0"/>
        <v>14.7</v>
      </c>
      <c r="K5" s="14">
        <f t="shared" si="0"/>
        <v>14.7</v>
      </c>
      <c r="L5" s="15">
        <f t="shared" si="0"/>
        <v>14.7</v>
      </c>
    </row>
    <row r="6" spans="1:12" ht="23.2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5" ht="12.75">
      <c r="A7" s="77" t="s">
        <v>115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N7" s="73" t="s">
        <v>112</v>
      </c>
      <c r="O7" s="73"/>
    </row>
    <row r="8" spans="1:12" ht="12.75">
      <c r="A8" s="13" t="s">
        <v>109</v>
      </c>
      <c r="B8" s="14"/>
      <c r="C8" s="14">
        <f>SUM('CVD Data'!C17:C22)</f>
        <v>84.068</v>
      </c>
      <c r="D8" s="14">
        <f>SUM('CVD Data'!D17:D22)</f>
        <v>87.826</v>
      </c>
      <c r="E8" s="14">
        <f>SUM('CVD Data'!E17:E22)</f>
        <v>90.38000000000001</v>
      </c>
      <c r="F8" s="14">
        <f>SUM('CVD Data'!F17:F22)</f>
        <v>91.844</v>
      </c>
      <c r="G8" s="14">
        <f>SUM('CVD Data'!G17:G22)</f>
        <v>92.54400000000001</v>
      </c>
      <c r="H8" s="14">
        <f>SUM('CVD Data'!H17:H22)</f>
        <v>91.899</v>
      </c>
      <c r="I8" s="14">
        <f>SUM('CVD Data'!I17:I22)</f>
        <v>77.334</v>
      </c>
      <c r="J8" s="14">
        <f>SUM('CVD Data'!J17:J22)</f>
        <v>0</v>
      </c>
      <c r="K8" s="14">
        <f>SUM('CVD Data'!K17:K22)</f>
        <v>0</v>
      </c>
      <c r="L8" s="15">
        <f>SUM('CVD Data'!L17:L22)</f>
        <v>0</v>
      </c>
    </row>
    <row r="9" spans="1:14" ht="12.75">
      <c r="A9" s="13" t="s">
        <v>110</v>
      </c>
      <c r="B9" s="14"/>
      <c r="C9" s="14">
        <f>IF(Oil_frac&gt;Carbon_no,'CVD Data'!C23+'CVD Data'!C24,0)</f>
        <v>3.737</v>
      </c>
      <c r="D9" s="14">
        <f>IF(Oil_frac&gt;Carbon_no,'CVD Data'!D23+'CVD Data'!D24,0)</f>
        <v>3.5300000000000002</v>
      </c>
      <c r="E9" s="14">
        <f>IF(Oil_frac&gt;Carbon_no,'CVD Data'!E23+'CVD Data'!E24,0)</f>
        <v>3.425</v>
      </c>
      <c r="F9" s="14">
        <f>IF(Oil_frac&gt;Carbon_no,'CVD Data'!F23+'CVD Data'!F24,0)</f>
        <v>3.4130000000000003</v>
      </c>
      <c r="G9" s="14">
        <f>IF(Oil_frac&gt;Carbon_no,'CVD Data'!G23+'CVD Data'!G24,0)</f>
        <v>3.4370000000000003</v>
      </c>
      <c r="H9" s="14">
        <f>IF(Oil_frac&gt;Carbon_no,'CVD Data'!H23+'CVD Data'!H24,0)</f>
        <v>3.822</v>
      </c>
      <c r="I9" s="14">
        <f>IF(Oil_frac&gt;Carbon_no,'CVD Data'!I23+'CVD Data'!I24,0)</f>
        <v>5.234</v>
      </c>
      <c r="J9" s="14">
        <f>IF(Oil_frac&gt;Carbon_no,'CVD Data'!J23+'CVD Data'!J24,0)</f>
        <v>0</v>
      </c>
      <c r="K9" s="14">
        <f>IF(Oil_frac&gt;Carbon_no,'CVD Data'!K23+'CVD Data'!K24,0)</f>
        <v>0</v>
      </c>
      <c r="L9" s="15">
        <f>IF(Oil_frac&gt;Carbon_no,'CVD Data'!L23+'CVD Data'!L24,0)</f>
        <v>0</v>
      </c>
      <c r="N9">
        <v>4</v>
      </c>
    </row>
    <row r="10" spans="1:14" ht="12.75">
      <c r="A10" s="13" t="s">
        <v>111</v>
      </c>
      <c r="B10" s="14"/>
      <c r="C10" s="14">
        <f>IF(Oil_frac&gt;Carbon_no,'CVD Data'!C25+'CVD Data'!C26,0)</f>
        <v>0</v>
      </c>
      <c r="D10" s="14">
        <f>IF(Oil_frac&gt;Carbon_no,'CVD Data'!D25+'CVD Data'!D26,0)</f>
        <v>0</v>
      </c>
      <c r="E10" s="14">
        <f>IF(Oil_frac&gt;Carbon_no,'CVD Data'!E25+'CVD Data'!E26,0)</f>
        <v>0</v>
      </c>
      <c r="F10" s="14">
        <f>IF(Oil_frac&gt;Carbon_no,'CVD Data'!F25+'CVD Data'!F26,0)</f>
        <v>0</v>
      </c>
      <c r="G10" s="14">
        <f>IF(Oil_frac&gt;Carbon_no,'CVD Data'!G25+'CVD Data'!G26,0)</f>
        <v>0</v>
      </c>
      <c r="H10" s="14">
        <f>IF(Oil_frac&gt;Carbon_no,'CVD Data'!H25+'CVD Data'!H26,0)</f>
        <v>0</v>
      </c>
      <c r="I10" s="14">
        <f>IF(Oil_frac&gt;Carbon_no,'CVD Data'!I25+'CVD Data'!I26,0)</f>
        <v>0</v>
      </c>
      <c r="J10" s="14">
        <f>IF(Oil_frac&gt;Carbon_no,'CVD Data'!J25+'CVD Data'!J26,0)</f>
        <v>0</v>
      </c>
      <c r="K10" s="14">
        <f>IF(Oil_frac&gt;Carbon_no,'CVD Data'!K25+'CVD Data'!K26,0)</f>
        <v>0</v>
      </c>
      <c r="L10" s="15">
        <f>IF(Oil_frac&gt;Carbon_no,'CVD Data'!L25+'CVD Data'!L26,0)</f>
        <v>0</v>
      </c>
      <c r="N10">
        <v>5</v>
      </c>
    </row>
    <row r="11" spans="1:14" ht="12.75">
      <c r="A11" s="13" t="s">
        <v>9</v>
      </c>
      <c r="B11" s="14"/>
      <c r="C11" s="14">
        <f>IF(Oil_frac&gt;Carbon_no,'CVD Data'!C27,0)</f>
        <v>0</v>
      </c>
      <c r="D11" s="14">
        <f>IF(Oil_frac&gt;Carbon_no,'CVD Data'!D27,0)</f>
        <v>0</v>
      </c>
      <c r="E11" s="14">
        <f>IF(Oil_frac&gt;Carbon_no,'CVD Data'!E27,0)</f>
        <v>0</v>
      </c>
      <c r="F11" s="14">
        <f>IF(Oil_frac&gt;Carbon_no,'CVD Data'!F27,0)</f>
        <v>0</v>
      </c>
      <c r="G11" s="14">
        <f>IF(Oil_frac&gt;Carbon_no,'CVD Data'!G27,0)</f>
        <v>0</v>
      </c>
      <c r="H11" s="14">
        <f>IF(Oil_frac&gt;Carbon_no,'CVD Data'!H27,0)</f>
        <v>0</v>
      </c>
      <c r="I11" s="14">
        <f>IF(Oil_frac&gt;Carbon_no,'CVD Data'!I27,0)</f>
        <v>0</v>
      </c>
      <c r="J11" s="14">
        <f>IF(Oil_frac&gt;Carbon_no,'CVD Data'!J27+'CVD Data'!J33,0)</f>
        <v>0</v>
      </c>
      <c r="K11" s="14">
        <f>IF(Oil_frac&gt;Carbon_no,'CVD Data'!K27+'CVD Data'!K33,0)</f>
        <v>0</v>
      </c>
      <c r="L11" s="15">
        <f>IF(Oil_frac&gt;Carbon_no,'CVD Data'!L27+'CVD Data'!L33,0)</f>
        <v>0</v>
      </c>
      <c r="N11">
        <v>6</v>
      </c>
    </row>
    <row r="12" spans="1:12" s="9" customFormat="1" ht="25.5">
      <c r="A12" s="78" t="s">
        <v>121</v>
      </c>
      <c r="B12" s="19"/>
      <c r="C12" s="79">
        <f aca="true" t="shared" si="1" ref="C12:L12">SUM(C8:C11)*UGC*Tstd/Pstd/100</f>
        <v>333.33884027210877</v>
      </c>
      <c r="D12" s="79">
        <f t="shared" si="1"/>
        <v>346.81969240816323</v>
      </c>
      <c r="E12" s="79">
        <f t="shared" si="1"/>
        <v>356.1169627210885</v>
      </c>
      <c r="F12" s="79">
        <f t="shared" si="1"/>
        <v>361.62926835374145</v>
      </c>
      <c r="G12" s="79">
        <f t="shared" si="1"/>
        <v>364.377828462585</v>
      </c>
      <c r="H12" s="79">
        <f t="shared" si="1"/>
        <v>363.3907764897959</v>
      </c>
      <c r="I12" s="79">
        <f t="shared" si="1"/>
        <v>313.4573357278911</v>
      </c>
      <c r="J12" s="79">
        <f t="shared" si="1"/>
        <v>0</v>
      </c>
      <c r="K12" s="79">
        <f t="shared" si="1"/>
        <v>0</v>
      </c>
      <c r="L12" s="80">
        <f t="shared" si="1"/>
        <v>0</v>
      </c>
    </row>
    <row r="13" spans="1:12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2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5" spans="1:12" ht="12.75">
      <c r="A15" s="77" t="s">
        <v>114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4" ht="12.75">
      <c r="A16" s="13" t="s">
        <v>5</v>
      </c>
      <c r="B16" s="14"/>
      <c r="C16" s="14">
        <f>IF(Oil_frac&lt;=Carbon_no,'CVD Data'!C23,0)</f>
        <v>0</v>
      </c>
      <c r="D16" s="14">
        <f>IF(Oil_frac&lt;=Carbon_no,'CVD Data'!D23,0)</f>
        <v>0</v>
      </c>
      <c r="E16" s="14">
        <f>IF(Oil_frac&lt;=Carbon_no,'CVD Data'!E23,0)</f>
        <v>0</v>
      </c>
      <c r="F16" s="14">
        <f>IF(Oil_frac&lt;=Carbon_no,'CVD Data'!F23,0)</f>
        <v>0</v>
      </c>
      <c r="G16" s="14">
        <f>IF(Oil_frac&lt;=Carbon_no,'CVD Data'!G23,0)</f>
        <v>0</v>
      </c>
      <c r="H16" s="14">
        <f>IF(Oil_frac&lt;=Carbon_no,'CVD Data'!H23,0)</f>
        <v>0</v>
      </c>
      <c r="I16" s="14">
        <f>IF(Oil_frac&lt;=Carbon_no,'CVD Data'!I23,0)</f>
        <v>0</v>
      </c>
      <c r="J16" s="14">
        <f>IF(Oil_frac&lt;=Carbon_no,'CVD Data'!J23,0)</f>
        <v>0</v>
      </c>
      <c r="K16" s="14">
        <f>IF(Oil_frac&lt;=Carbon_no,'CVD Data'!K23,0)</f>
        <v>0</v>
      </c>
      <c r="L16" s="15">
        <f>IF(Oil_frac&lt;=Carbon_no,'CVD Data'!L23,0)</f>
        <v>0</v>
      </c>
      <c r="N16">
        <v>4</v>
      </c>
    </row>
    <row r="17" spans="1:14" ht="12.75">
      <c r="A17" s="13" t="s">
        <v>6</v>
      </c>
      <c r="B17" s="14"/>
      <c r="C17" s="14">
        <f>IF(Oil_frac&lt;=Carbon_no,'CVD Data'!C24,0)</f>
        <v>0</v>
      </c>
      <c r="D17" s="14">
        <f>IF(Oil_frac&lt;=Carbon_no,'CVD Data'!D24,0)</f>
        <v>0</v>
      </c>
      <c r="E17" s="14">
        <f>IF(Oil_frac&lt;=Carbon_no,'CVD Data'!E24,0)</f>
        <v>0</v>
      </c>
      <c r="F17" s="14">
        <f>IF(Oil_frac&lt;=Carbon_no,'CVD Data'!F24,0)</f>
        <v>0</v>
      </c>
      <c r="G17" s="14">
        <f>IF(Oil_frac&lt;=Carbon_no,'CVD Data'!G24,0)</f>
        <v>0</v>
      </c>
      <c r="H17" s="14">
        <f>IF(Oil_frac&lt;=Carbon_no,'CVD Data'!H24,0)</f>
        <v>0</v>
      </c>
      <c r="I17" s="14">
        <f>IF(Oil_frac&lt;=Carbon_no,'CVD Data'!I24,0)</f>
        <v>0</v>
      </c>
      <c r="J17" s="14">
        <f>IF(Oil_frac&lt;=Carbon_no,'CVD Data'!J24,0)</f>
        <v>0</v>
      </c>
      <c r="K17" s="14">
        <f>IF(Oil_frac&lt;=Carbon_no,'CVD Data'!K24,0)</f>
        <v>0</v>
      </c>
      <c r="L17" s="15">
        <f>IF(Oil_frac&lt;=Carbon_no,'CVD Data'!L24,0)</f>
        <v>0</v>
      </c>
      <c r="N17">
        <v>4</v>
      </c>
    </row>
    <row r="18" spans="1:14" ht="12.75">
      <c r="A18" s="13" t="s">
        <v>7</v>
      </c>
      <c r="B18" s="14"/>
      <c r="C18" s="14">
        <f>IF(Oil_frac&lt;=Carbon_no,'CVD Data'!C25,0)</f>
        <v>0.857</v>
      </c>
      <c r="D18" s="14">
        <f>IF(Oil_frac&lt;=Carbon_no,'CVD Data'!D25,0)</f>
        <v>0.8</v>
      </c>
      <c r="E18" s="14">
        <f>IF(Oil_frac&lt;=Carbon_no,'CVD Data'!E25,0)</f>
        <v>0.766</v>
      </c>
      <c r="F18" s="14">
        <f>IF(Oil_frac&lt;=Carbon_no,'CVD Data'!F25,0)</f>
        <v>0.724</v>
      </c>
      <c r="G18" s="14">
        <f>IF(Oil_frac&lt;=Carbon_no,'CVD Data'!G25,0)</f>
        <v>0.69</v>
      </c>
      <c r="H18" s="14">
        <f>IF(Oil_frac&lt;=Carbon_no,'CVD Data'!H25,0)</f>
        <v>0.815</v>
      </c>
      <c r="I18" s="14">
        <f>IF(Oil_frac&lt;=Carbon_no,'CVD Data'!I25,0)</f>
        <v>1.213</v>
      </c>
      <c r="J18" s="14">
        <f>IF(Oil_frac&lt;=Carbon_no,'CVD Data'!J25,0)</f>
        <v>0</v>
      </c>
      <c r="K18" s="14">
        <f>IF(Oil_frac&lt;=Carbon_no,'CVD Data'!K25,0)</f>
        <v>0</v>
      </c>
      <c r="L18" s="15">
        <f>IF(Oil_frac&lt;=Carbon_no,'CVD Data'!L25,0)</f>
        <v>0</v>
      </c>
      <c r="N18">
        <v>5</v>
      </c>
    </row>
    <row r="19" spans="1:14" ht="12.75">
      <c r="A19" s="13" t="s">
        <v>8</v>
      </c>
      <c r="B19" s="14"/>
      <c r="C19" s="14">
        <f>IF(Oil_frac&lt;=Carbon_no,'CVD Data'!C26,0)</f>
        <v>0.842</v>
      </c>
      <c r="D19" s="14">
        <f>IF(Oil_frac&lt;=Carbon_no,'CVD Data'!D26,0)</f>
        <v>0.787</v>
      </c>
      <c r="E19" s="14">
        <f>IF(Oil_frac&lt;=Carbon_no,'CVD Data'!E26,0)</f>
        <v>0.757</v>
      </c>
      <c r="F19" s="14">
        <f>IF(Oil_frac&lt;=Carbon_no,'CVD Data'!F26,0)</f>
        <v>0.716</v>
      </c>
      <c r="G19" s="14">
        <f>IF(Oil_frac&lt;=Carbon_no,'CVD Data'!G26,0)</f>
        <v>0.681</v>
      </c>
      <c r="H19" s="14">
        <f>IF(Oil_frac&lt;=Carbon_no,'CVD Data'!H26,0)</f>
        <v>0.762</v>
      </c>
      <c r="I19" s="14">
        <f>IF(Oil_frac&lt;=Carbon_no,'CVD Data'!I26,0)</f>
        <v>1.151</v>
      </c>
      <c r="J19" s="14">
        <f>IF(Oil_frac&lt;=Carbon_no,'CVD Data'!J26,0)</f>
        <v>0</v>
      </c>
      <c r="K19" s="14">
        <f>IF(Oil_frac&lt;=Carbon_no,'CVD Data'!K26,0)</f>
        <v>0</v>
      </c>
      <c r="L19" s="15">
        <f>IF(Oil_frac&lt;=Carbon_no,'CVD Data'!L26,0)</f>
        <v>0</v>
      </c>
      <c r="N19">
        <v>5</v>
      </c>
    </row>
    <row r="20" spans="1:14" ht="12.75">
      <c r="A20" s="13" t="s">
        <v>9</v>
      </c>
      <c r="B20" s="14"/>
      <c r="C20" s="14">
        <f>IF(Oil_frac&lt;=Carbon_no,'CVD Data'!C27,0)</f>
        <v>0.968</v>
      </c>
      <c r="D20" s="14">
        <f>IF(Oil_frac&lt;=Carbon_no,'CVD Data'!D27,0)</f>
        <v>0.857</v>
      </c>
      <c r="E20" s="14">
        <f>IF(Oil_frac&lt;=Carbon_no,'CVD Data'!E27,0)</f>
        <v>0.771</v>
      </c>
      <c r="F20" s="14">
        <f>IF(Oil_frac&lt;=Carbon_no,'CVD Data'!F27,0)</f>
        <v>0.701</v>
      </c>
      <c r="G20" s="14">
        <f>IF(Oil_frac&lt;=Carbon_no,'CVD Data'!G27,0)</f>
        <v>0.647</v>
      </c>
      <c r="H20" s="14">
        <f>IF(Oil_frac&lt;=Carbon_no,'CVD Data'!H27,0)</f>
        <v>0.701</v>
      </c>
      <c r="I20" s="14">
        <f>IF(Oil_frac&lt;=Carbon_no,'CVD Data'!I27,0)</f>
        <v>1.268</v>
      </c>
      <c r="J20" s="14">
        <f>IF(Oil_frac&lt;=Carbon_no,'CVD Data'!J27,0)</f>
        <v>0</v>
      </c>
      <c r="K20" s="14">
        <f>IF(Oil_frac&lt;=Carbon_no,'CVD Data'!K27,0)</f>
        <v>0</v>
      </c>
      <c r="L20" s="15">
        <f>IF(Oil_frac&lt;=Carbon_no,'CVD Data'!L27,0)</f>
        <v>0</v>
      </c>
      <c r="N20">
        <v>6</v>
      </c>
    </row>
    <row r="21" spans="1:14" ht="12.75">
      <c r="A21" s="13" t="s">
        <v>188</v>
      </c>
      <c r="B21" s="14"/>
      <c r="C21" s="14">
        <f>IF(Oil_frac&lt;=Carbon_no,'CVD Data'!C28,0)</f>
        <v>0</v>
      </c>
      <c r="D21" s="14">
        <f>IF(Oil_frac&lt;=Carbon_no,'CVD Data'!D28,0)</f>
        <v>0</v>
      </c>
      <c r="E21" s="14">
        <f>IF(Oil_frac&lt;=Carbon_no,'CVD Data'!E28,0)</f>
        <v>0</v>
      </c>
      <c r="F21" s="14">
        <f>IF(Oil_frac&lt;=Carbon_no,'CVD Data'!F28,0)</f>
        <v>0</v>
      </c>
      <c r="G21" s="14">
        <f>IF(Oil_frac&lt;=Carbon_no,'CVD Data'!G28,0)</f>
        <v>0</v>
      </c>
      <c r="H21" s="14">
        <f>IF(Oil_frac&lt;=Carbon_no,'CVD Data'!H28,0)</f>
        <v>0</v>
      </c>
      <c r="I21" s="14">
        <f>IF(Oil_frac&lt;=Carbon_no,'CVD Data'!I28,0)</f>
        <v>0</v>
      </c>
      <c r="J21" s="14"/>
      <c r="K21" s="14"/>
      <c r="L21" s="15"/>
      <c r="N21">
        <v>7</v>
      </c>
    </row>
    <row r="22" spans="1:14" ht="12.75">
      <c r="A22" s="13" t="s">
        <v>189</v>
      </c>
      <c r="B22" s="14"/>
      <c r="C22" s="14">
        <f>IF(Oil_frac&lt;=Carbon_no,'CVD Data'!C29,0)</f>
        <v>0</v>
      </c>
      <c r="D22" s="14">
        <f>IF(Oil_frac&lt;=Carbon_no,'CVD Data'!D29,0)</f>
        <v>0</v>
      </c>
      <c r="E22" s="14">
        <f>IF(Oil_frac&lt;=Carbon_no,'CVD Data'!E29,0)</f>
        <v>0</v>
      </c>
      <c r="F22" s="14">
        <f>IF(Oil_frac&lt;=Carbon_no,'CVD Data'!F29,0)</f>
        <v>0</v>
      </c>
      <c r="G22" s="14">
        <f>IF(Oil_frac&lt;=Carbon_no,'CVD Data'!G29,0)</f>
        <v>0</v>
      </c>
      <c r="H22" s="14">
        <f>IF(Oil_frac&lt;=Carbon_no,'CVD Data'!H29,0)</f>
        <v>0</v>
      </c>
      <c r="I22" s="14">
        <f>IF(Oil_frac&lt;=Carbon_no,'CVD Data'!I29,0)</f>
        <v>0</v>
      </c>
      <c r="J22" s="14"/>
      <c r="K22" s="14"/>
      <c r="L22" s="15"/>
      <c r="N22">
        <v>8</v>
      </c>
    </row>
    <row r="23" spans="1:14" ht="12.75">
      <c r="A23" s="13" t="s">
        <v>190</v>
      </c>
      <c r="B23" s="14"/>
      <c r="C23" s="14">
        <f>IF(Oil_frac&lt;=Carbon_no,'CVD Data'!C30,0)</f>
        <v>0</v>
      </c>
      <c r="D23" s="14">
        <f>IF(Oil_frac&lt;=Carbon_no,'CVD Data'!D30,0)</f>
        <v>0</v>
      </c>
      <c r="E23" s="14">
        <f>IF(Oil_frac&lt;=Carbon_no,'CVD Data'!E30,0)</f>
        <v>0</v>
      </c>
      <c r="F23" s="14">
        <f>IF(Oil_frac&lt;=Carbon_no,'CVD Data'!F30,0)</f>
        <v>0</v>
      </c>
      <c r="G23" s="14">
        <f>IF(Oil_frac&lt;=Carbon_no,'CVD Data'!G30,0)</f>
        <v>0</v>
      </c>
      <c r="H23" s="14">
        <f>IF(Oil_frac&lt;=Carbon_no,'CVD Data'!H30,0)</f>
        <v>0</v>
      </c>
      <c r="I23" s="14">
        <f>IF(Oil_frac&lt;=Carbon_no,'CVD Data'!I30,0)</f>
        <v>0</v>
      </c>
      <c r="J23" s="14"/>
      <c r="K23" s="14"/>
      <c r="L23" s="15"/>
      <c r="N23">
        <v>9</v>
      </c>
    </row>
    <row r="24" spans="1:14" ht="12.75">
      <c r="A24" s="13" t="s">
        <v>191</v>
      </c>
      <c r="B24" s="14"/>
      <c r="C24" s="14">
        <f>IF(Oil_frac&lt;=Carbon_no,'CVD Data'!C31,0)</f>
        <v>0</v>
      </c>
      <c r="D24" s="14">
        <f>IF(Oil_frac&lt;=Carbon_no,'CVD Data'!D31,0)</f>
        <v>0</v>
      </c>
      <c r="E24" s="14">
        <f>IF(Oil_frac&lt;=Carbon_no,'CVD Data'!E31,0)</f>
        <v>0</v>
      </c>
      <c r="F24" s="14">
        <f>IF(Oil_frac&lt;=Carbon_no,'CVD Data'!F31,0)</f>
        <v>0</v>
      </c>
      <c r="G24" s="14">
        <f>IF(Oil_frac&lt;=Carbon_no,'CVD Data'!G31,0)</f>
        <v>0</v>
      </c>
      <c r="H24" s="14">
        <f>IF(Oil_frac&lt;=Carbon_no,'CVD Data'!H31,0)</f>
        <v>0</v>
      </c>
      <c r="I24" s="14">
        <f>IF(Oil_frac&lt;=Carbon_no,'CVD Data'!I31,0)</f>
        <v>0</v>
      </c>
      <c r="J24" s="14"/>
      <c r="K24" s="14"/>
      <c r="L24" s="15"/>
      <c r="N24">
        <v>10</v>
      </c>
    </row>
    <row r="25" spans="1:14" ht="12.75">
      <c r="A25" s="13" t="s">
        <v>192</v>
      </c>
      <c r="B25" s="14"/>
      <c r="C25" s="14">
        <f>IF(Oil_frac&lt;=Carbon_no,'CVD Data'!C32,0)</f>
        <v>0</v>
      </c>
      <c r="D25" s="14">
        <f>IF(Oil_frac&lt;=Carbon_no,'CVD Data'!D32,0)</f>
        <v>0</v>
      </c>
      <c r="E25" s="14">
        <f>IF(Oil_frac&lt;=Carbon_no,'CVD Data'!E32,0)</f>
        <v>0</v>
      </c>
      <c r="F25" s="14">
        <f>IF(Oil_frac&lt;=Carbon_no,'CVD Data'!F32,0)</f>
        <v>0</v>
      </c>
      <c r="G25" s="14">
        <f>IF(Oil_frac&lt;=Carbon_no,'CVD Data'!G32,0)</f>
        <v>0</v>
      </c>
      <c r="H25" s="14">
        <f>IF(Oil_frac&lt;=Carbon_no,'CVD Data'!H32,0)</f>
        <v>0</v>
      </c>
      <c r="I25" s="14">
        <f>IF(Oil_frac&lt;=Carbon_no,'CVD Data'!I32,0)</f>
        <v>0</v>
      </c>
      <c r="J25" s="14"/>
      <c r="K25" s="14"/>
      <c r="L25" s="15"/>
      <c r="N25">
        <v>11</v>
      </c>
    </row>
    <row r="26" spans="1:14" ht="12.75">
      <c r="A26" s="13" t="str">
        <f>'CVD Data'!B33</f>
        <v>C7+</v>
      </c>
      <c r="B26" s="14"/>
      <c r="C26" s="14">
        <f>IF(Oil_frac&lt;=Carbon_no,'CVD Data'!C33,0)</f>
        <v>9.529</v>
      </c>
      <c r="D26" s="14">
        <f>IF(Oil_frac&lt;=Carbon_no,'CVD Data'!D33,0)</f>
        <v>6.2</v>
      </c>
      <c r="E26" s="14">
        <f>IF(Oil_frac&lt;=Carbon_no,'CVD Data'!E33,0)</f>
        <v>3.9</v>
      </c>
      <c r="F26" s="14">
        <f>IF(Oil_frac&lt;=Carbon_no,'CVD Data'!F33,0)</f>
        <v>2.6</v>
      </c>
      <c r="G26" s="14">
        <f>IF(Oil_frac&lt;=Carbon_no,'CVD Data'!G33,0)</f>
        <v>2</v>
      </c>
      <c r="H26" s="14">
        <f>IF(Oil_frac&lt;=Carbon_no,'CVD Data'!H33,0)</f>
        <v>2</v>
      </c>
      <c r="I26" s="14">
        <f>IF(Oil_frac&lt;=Carbon_no,'CVD Data'!I33,0)</f>
        <v>13.8</v>
      </c>
      <c r="J26" s="14">
        <f>IF(Oil_frac&lt;=Carbon_no,'CVD Data'!J33,0)</f>
        <v>0</v>
      </c>
      <c r="K26" s="14">
        <f>IF(Oil_frac&lt;=Carbon_no,'CVD Data'!K33,0)</f>
        <v>0</v>
      </c>
      <c r="L26" s="15">
        <f>IF(Oil_frac&lt;=Carbon_no,'CVD Data'!L33,0)</f>
        <v>0</v>
      </c>
      <c r="N26">
        <f>N_plus</f>
        <v>7</v>
      </c>
    </row>
    <row r="27" spans="1:12" ht="12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6" ht="12.75">
      <c r="A28" s="77" t="s">
        <v>116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N28" s="73" t="s">
        <v>117</v>
      </c>
      <c r="O28" s="73" t="s">
        <v>113</v>
      </c>
      <c r="P28" t="s">
        <v>118</v>
      </c>
    </row>
    <row r="29" spans="1:15" ht="12.75">
      <c r="A29" s="13" t="s">
        <v>5</v>
      </c>
      <c r="B29" s="14"/>
      <c r="C29" s="50">
        <f aca="true" t="shared" si="2" ref="C29:L29">C16*MW/Density/100</f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0">
        <f t="shared" si="2"/>
        <v>0</v>
      </c>
      <c r="J29" s="50">
        <f t="shared" si="2"/>
        <v>0</v>
      </c>
      <c r="K29" s="50">
        <f t="shared" si="2"/>
        <v>0</v>
      </c>
      <c r="L29" s="51">
        <f t="shared" si="2"/>
        <v>0</v>
      </c>
      <c r="N29">
        <f>'CVD Data'!Q23</f>
        <v>58.12</v>
      </c>
      <c r="O29" s="2">
        <f>'CVD Data'!R23</f>
        <v>35.01</v>
      </c>
    </row>
    <row r="30" spans="1:15" ht="12.75">
      <c r="A30" s="13" t="s">
        <v>6</v>
      </c>
      <c r="B30" s="14"/>
      <c r="C30" s="50">
        <f aca="true" t="shared" si="3" ref="C30:L30">C17*MW/Density/100</f>
        <v>0</v>
      </c>
      <c r="D30" s="50">
        <f t="shared" si="3"/>
        <v>0</v>
      </c>
      <c r="E30" s="50">
        <f t="shared" si="3"/>
        <v>0</v>
      </c>
      <c r="F30" s="50">
        <f t="shared" si="3"/>
        <v>0</v>
      </c>
      <c r="G30" s="50">
        <f t="shared" si="3"/>
        <v>0</v>
      </c>
      <c r="H30" s="50">
        <f t="shared" si="3"/>
        <v>0</v>
      </c>
      <c r="I30" s="50">
        <f t="shared" si="3"/>
        <v>0</v>
      </c>
      <c r="J30" s="50">
        <f t="shared" si="3"/>
        <v>0</v>
      </c>
      <c r="K30" s="50">
        <f t="shared" si="3"/>
        <v>0</v>
      </c>
      <c r="L30" s="51">
        <f t="shared" si="3"/>
        <v>0</v>
      </c>
      <c r="N30">
        <f>'CVD Data'!Q24</f>
        <v>58.12</v>
      </c>
      <c r="O30" s="2">
        <f>'CVD Data'!R24</f>
        <v>36.45</v>
      </c>
    </row>
    <row r="31" spans="1:15" ht="12.75">
      <c r="A31" s="13" t="s">
        <v>7</v>
      </c>
      <c r="B31" s="14"/>
      <c r="C31" s="50">
        <f aca="true" t="shared" si="4" ref="C31:L31">C18*MW/Density/100</f>
        <v>0.015801827242524918</v>
      </c>
      <c r="D31" s="50">
        <f t="shared" si="4"/>
        <v>0.014750830564784054</v>
      </c>
      <c r="E31" s="50">
        <f t="shared" si="4"/>
        <v>0.014123920265780732</v>
      </c>
      <c r="F31" s="50">
        <f t="shared" si="4"/>
        <v>0.013349501661129567</v>
      </c>
      <c r="G31" s="50">
        <f t="shared" si="4"/>
        <v>0.012722591362126244</v>
      </c>
      <c r="H31" s="50">
        <f t="shared" si="4"/>
        <v>0.015027408637873753</v>
      </c>
      <c r="I31" s="50">
        <f t="shared" si="4"/>
        <v>0.022365946843853825</v>
      </c>
      <c r="J31" s="50">
        <f t="shared" si="4"/>
        <v>0</v>
      </c>
      <c r="K31" s="50">
        <f t="shared" si="4"/>
        <v>0</v>
      </c>
      <c r="L31" s="51">
        <f t="shared" si="4"/>
        <v>0</v>
      </c>
      <c r="N31">
        <f>'CVD Data'!Q25</f>
        <v>72.15</v>
      </c>
      <c r="O31" s="2">
        <f>'CVD Data'!R25</f>
        <v>39.13</v>
      </c>
    </row>
    <row r="32" spans="1:15" ht="12.75">
      <c r="A32" s="13" t="s">
        <v>8</v>
      </c>
      <c r="B32" s="14"/>
      <c r="C32" s="50">
        <f aca="true" t="shared" si="5" ref="C32:L32">C19*MW/Density/100</f>
        <v>0.015458091603053437</v>
      </c>
      <c r="D32" s="50">
        <f t="shared" si="5"/>
        <v>0.014448358778625957</v>
      </c>
      <c r="E32" s="50">
        <f t="shared" si="5"/>
        <v>0.013897595419847331</v>
      </c>
      <c r="F32" s="50">
        <f t="shared" si="5"/>
        <v>0.013144885496183208</v>
      </c>
      <c r="G32" s="50">
        <f t="shared" si="5"/>
        <v>0.012502328244274812</v>
      </c>
      <c r="H32" s="50">
        <f t="shared" si="5"/>
        <v>0.0139893893129771</v>
      </c>
      <c r="I32" s="50">
        <f t="shared" si="5"/>
        <v>0.021130954198473283</v>
      </c>
      <c r="J32" s="50">
        <f t="shared" si="5"/>
        <v>0</v>
      </c>
      <c r="K32" s="50">
        <f t="shared" si="5"/>
        <v>0</v>
      </c>
      <c r="L32" s="51">
        <f t="shared" si="5"/>
        <v>0</v>
      </c>
      <c r="N32">
        <f>'CVD Data'!Q26</f>
        <v>72.15</v>
      </c>
      <c r="O32" s="2">
        <f>'CVD Data'!R26</f>
        <v>39.3</v>
      </c>
    </row>
    <row r="33" spans="1:15" ht="12.75">
      <c r="A33" s="13" t="s">
        <v>9</v>
      </c>
      <c r="B33" s="14"/>
      <c r="C33" s="50">
        <f aca="true" t="shared" si="6" ref="C33:L33">C20*MW/Density/100</f>
        <v>0.02025068220441855</v>
      </c>
      <c r="D33" s="50">
        <f t="shared" si="6"/>
        <v>0.017928548191308572</v>
      </c>
      <c r="E33" s="50">
        <f t="shared" si="6"/>
        <v>0.016129417334304445</v>
      </c>
      <c r="F33" s="50">
        <f t="shared" si="6"/>
        <v>0.014665008497208061</v>
      </c>
      <c r="G33" s="50">
        <f t="shared" si="6"/>
        <v>0.013535321680019424</v>
      </c>
      <c r="H33" s="50">
        <f t="shared" si="6"/>
        <v>0.014665008497208061</v>
      </c>
      <c r="I33" s="50">
        <f t="shared" si="6"/>
        <v>0.026526720077688762</v>
      </c>
      <c r="J33" s="50">
        <f t="shared" si="6"/>
        <v>0</v>
      </c>
      <c r="K33" s="50">
        <f t="shared" si="6"/>
        <v>0</v>
      </c>
      <c r="L33" s="51">
        <f t="shared" si="6"/>
        <v>0</v>
      </c>
      <c r="N33">
        <f>'CVD Data'!Q27</f>
        <v>86.17</v>
      </c>
      <c r="O33" s="2">
        <f>'CVD Data'!R27</f>
        <v>41.19</v>
      </c>
    </row>
    <row r="34" spans="1:15" ht="12.75">
      <c r="A34" s="13" t="s">
        <v>188</v>
      </c>
      <c r="B34" s="14"/>
      <c r="C34" s="50">
        <f aca="true" t="shared" si="7" ref="C34:I34">C21*MW/Density/100</f>
        <v>0</v>
      </c>
      <c r="D34" s="50">
        <f t="shared" si="7"/>
        <v>0</v>
      </c>
      <c r="E34" s="50">
        <f t="shared" si="7"/>
        <v>0</v>
      </c>
      <c r="F34" s="50">
        <f t="shared" si="7"/>
        <v>0</v>
      </c>
      <c r="G34" s="50">
        <f t="shared" si="7"/>
        <v>0</v>
      </c>
      <c r="H34" s="50">
        <f t="shared" si="7"/>
        <v>0</v>
      </c>
      <c r="I34" s="50">
        <f t="shared" si="7"/>
        <v>0</v>
      </c>
      <c r="J34" s="50"/>
      <c r="K34" s="50"/>
      <c r="L34" s="51"/>
      <c r="N34">
        <f>'CVD Data'!Q28</f>
        <v>100.2</v>
      </c>
      <c r="O34" s="2">
        <f>'CVD Data'!R28</f>
        <v>42.58334373829442</v>
      </c>
    </row>
    <row r="35" spans="1:15" ht="12.75">
      <c r="A35" s="13" t="s">
        <v>189</v>
      </c>
      <c r="B35" s="14"/>
      <c r="C35" s="50">
        <f aca="true" t="shared" si="8" ref="C35:I35">C22*MW/Density/100</f>
        <v>0</v>
      </c>
      <c r="D35" s="50">
        <f t="shared" si="8"/>
        <v>0</v>
      </c>
      <c r="E35" s="50">
        <f t="shared" si="8"/>
        <v>0</v>
      </c>
      <c r="F35" s="50">
        <f t="shared" si="8"/>
        <v>0</v>
      </c>
      <c r="G35" s="50">
        <f t="shared" si="8"/>
        <v>0</v>
      </c>
      <c r="H35" s="50">
        <f t="shared" si="8"/>
        <v>0</v>
      </c>
      <c r="I35" s="50">
        <f t="shared" si="8"/>
        <v>0</v>
      </c>
      <c r="J35" s="50"/>
      <c r="K35" s="50"/>
      <c r="L35" s="51"/>
      <c r="N35">
        <f>'CVD Data'!Q29</f>
        <v>114.2</v>
      </c>
      <c r="O35" s="2">
        <f>'CVD Data'!R29</f>
        <v>44.19403171432138</v>
      </c>
    </row>
    <row r="36" spans="1:15" ht="12.75">
      <c r="A36" s="13" t="s">
        <v>190</v>
      </c>
      <c r="B36" s="14"/>
      <c r="C36" s="50">
        <f aca="true" t="shared" si="9" ref="C36:I36">C23*MW/Density/100</f>
        <v>0</v>
      </c>
      <c r="D36" s="50">
        <f t="shared" si="9"/>
        <v>0</v>
      </c>
      <c r="E36" s="50">
        <f t="shared" si="9"/>
        <v>0</v>
      </c>
      <c r="F36" s="50">
        <f t="shared" si="9"/>
        <v>0</v>
      </c>
      <c r="G36" s="50">
        <f t="shared" si="9"/>
        <v>0</v>
      </c>
      <c r="H36" s="50">
        <f t="shared" si="9"/>
        <v>0</v>
      </c>
      <c r="I36" s="50">
        <f t="shared" si="9"/>
        <v>0</v>
      </c>
      <c r="J36" s="50"/>
      <c r="K36" s="50"/>
      <c r="L36" s="51"/>
      <c r="N36">
        <f>'CVD Data'!Q30</f>
        <v>128.3</v>
      </c>
      <c r="O36" s="2">
        <f>'CVD Data'!R30</f>
        <v>45.34898239480584</v>
      </c>
    </row>
    <row r="37" spans="1:15" ht="12.75">
      <c r="A37" s="13" t="s">
        <v>191</v>
      </c>
      <c r="B37" s="14"/>
      <c r="C37" s="50">
        <f aca="true" t="shared" si="10" ref="C37:I37">C24*MW/Density/100</f>
        <v>0</v>
      </c>
      <c r="D37" s="50">
        <f t="shared" si="10"/>
        <v>0</v>
      </c>
      <c r="E37" s="50">
        <f t="shared" si="10"/>
        <v>0</v>
      </c>
      <c r="F37" s="50">
        <f t="shared" si="10"/>
        <v>0</v>
      </c>
      <c r="G37" s="50">
        <f t="shared" si="10"/>
        <v>0</v>
      </c>
      <c r="H37" s="50">
        <f t="shared" si="10"/>
        <v>0</v>
      </c>
      <c r="I37" s="50">
        <f t="shared" si="10"/>
        <v>0</v>
      </c>
      <c r="J37" s="50"/>
      <c r="K37" s="50"/>
      <c r="L37" s="51"/>
      <c r="N37">
        <f>'CVD Data'!Q31</f>
        <v>142.3</v>
      </c>
      <c r="O37" s="2">
        <f>'CVD Data'!R31</f>
        <v>45.67986015732301</v>
      </c>
    </row>
    <row r="38" spans="1:15" ht="12.75">
      <c r="A38" s="13" t="s">
        <v>192</v>
      </c>
      <c r="B38" s="14"/>
      <c r="C38" s="50">
        <f aca="true" t="shared" si="11" ref="C38:I38">C25*MW/Density/100</f>
        <v>0</v>
      </c>
      <c r="D38" s="50">
        <f t="shared" si="11"/>
        <v>0</v>
      </c>
      <c r="E38" s="50">
        <f t="shared" si="11"/>
        <v>0</v>
      </c>
      <c r="F38" s="50">
        <f t="shared" si="11"/>
        <v>0</v>
      </c>
      <c r="G38" s="50">
        <f t="shared" si="11"/>
        <v>0</v>
      </c>
      <c r="H38" s="50">
        <f t="shared" si="11"/>
        <v>0</v>
      </c>
      <c r="I38" s="50">
        <f t="shared" si="11"/>
        <v>0</v>
      </c>
      <c r="J38" s="50"/>
      <c r="K38" s="50"/>
      <c r="L38" s="51"/>
      <c r="N38">
        <f>'CVD Data'!Q32</f>
        <v>156.3</v>
      </c>
      <c r="O38" s="2">
        <f>'CVD Data'!R32</f>
        <v>46</v>
      </c>
    </row>
    <row r="39" spans="1:12" ht="12.75">
      <c r="A39" s="13" t="str">
        <f>A26</f>
        <v>C7+</v>
      </c>
      <c r="B39" s="14"/>
      <c r="C39" s="132">
        <f>IF('CVD Data'!C10&gt;1,C26*'CVD Data'!C$35/('CVD Data'!C$36*62.4)/100,0)</f>
        <v>0.3171461931887786</v>
      </c>
      <c r="D39" s="132">
        <f>IF('CVD Data'!D10&gt;1,D26*'CVD Data'!D35/('CVD Data'!D36*62.4)/100,0)</f>
        <v>0.1856275619426125</v>
      </c>
      <c r="E39" s="132">
        <f>IF('CVD Data'!E10&gt;1,E26*'CVD Data'!E35/('CVD Data'!E36*62.4)/100,0)</f>
        <v>0.10803232240091173</v>
      </c>
      <c r="F39" s="132">
        <f>IF('CVD Data'!F10&gt;1,F26*'CVD Data'!F35/('CVD Data'!F36*62.4)/100,0)</f>
        <v>0.06761662181212355</v>
      </c>
      <c r="G39" s="132">
        <f>IF('CVD Data'!G10&gt;1,G26*'CVD Data'!G35/('CVD Data'!G36*62.4)/100,0)</f>
        <v>0.050004717074817774</v>
      </c>
      <c r="H39" s="132">
        <f>IF('CVD Data'!H10&gt;1,H26*'CVD Data'!H35/('CVD Data'!H36*62.4)/100,0)</f>
        <v>0.048457841677740365</v>
      </c>
      <c r="I39" s="132">
        <f>IF('CVD Data'!I10&gt;1,I26*'CVD Data'!I35/('CVD Data'!I36*62.4)/100,0)</f>
        <v>0.3705721460068594</v>
      </c>
      <c r="J39" s="50">
        <f>IF('CVD Data'!J10&gt;1,J26*'CVD Data'!J35/('CVD Data'!J36*62.4)/100,0)</f>
        <v>0</v>
      </c>
      <c r="K39" s="50">
        <f>IF('CVD Data'!K10&gt;1,K26*'CVD Data'!K35/('CVD Data'!K36*62.4)/100,0)</f>
        <v>0</v>
      </c>
      <c r="L39" s="51">
        <f>IF('CVD Data'!L10&gt;1,L26*'CVD Data'!L35/('CVD Data'!L36*62.4)/100,0)</f>
        <v>0</v>
      </c>
    </row>
    <row r="40" spans="1:12" s="9" customFormat="1" ht="25.5">
      <c r="A40" s="78" t="s">
        <v>122</v>
      </c>
      <c r="B40" s="19"/>
      <c r="C40" s="81">
        <f aca="true" t="shared" si="12" ref="C40:L40">SUM(C29:C39)</f>
        <v>0.3686567942387755</v>
      </c>
      <c r="D40" s="81">
        <f t="shared" si="12"/>
        <v>0.2327552994773311</v>
      </c>
      <c r="E40" s="81">
        <f t="shared" si="12"/>
        <v>0.15218325542084424</v>
      </c>
      <c r="F40" s="81">
        <f t="shared" si="12"/>
        <v>0.10877601746664439</v>
      </c>
      <c r="G40" s="81">
        <f t="shared" si="12"/>
        <v>0.08876495836123825</v>
      </c>
      <c r="H40" s="81">
        <f t="shared" si="12"/>
        <v>0.09213964812579928</v>
      </c>
      <c r="I40" s="81">
        <f t="shared" si="12"/>
        <v>0.44059576712687526</v>
      </c>
      <c r="J40" s="81">
        <f t="shared" si="12"/>
        <v>0</v>
      </c>
      <c r="K40" s="81">
        <f t="shared" si="12"/>
        <v>0</v>
      </c>
      <c r="L40" s="82">
        <f t="shared" si="12"/>
        <v>0</v>
      </c>
    </row>
    <row r="41" spans="1:12" ht="12.7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s="9" customFormat="1" ht="12.75">
      <c r="A42" s="77" t="s">
        <v>123</v>
      </c>
      <c r="B42" s="19"/>
      <c r="C42" s="83">
        <f aca="true" t="shared" si="13" ref="C42:L42">IF(C12&gt;0,C40/C12/5.6146*1000000,0)</f>
        <v>196.9778989571166</v>
      </c>
      <c r="D42" s="83">
        <f t="shared" si="13"/>
        <v>119.53002433431779</v>
      </c>
      <c r="E42" s="83">
        <f t="shared" si="13"/>
        <v>76.11239501950006</v>
      </c>
      <c r="F42" s="83">
        <f t="shared" si="13"/>
        <v>53.573591299642025</v>
      </c>
      <c r="G42" s="83">
        <f t="shared" si="13"/>
        <v>43.38811564639641</v>
      </c>
      <c r="H42" s="83">
        <f t="shared" si="13"/>
        <v>45.159989067078854</v>
      </c>
      <c r="I42" s="83">
        <f>IF(I12&gt;0,I40/I12/5.6146*1000000,0)</f>
        <v>250.34738609328917</v>
      </c>
      <c r="J42" s="83">
        <f t="shared" si="13"/>
        <v>0</v>
      </c>
      <c r="K42" s="83">
        <f t="shared" si="13"/>
        <v>0</v>
      </c>
      <c r="L42" s="84">
        <f t="shared" si="13"/>
        <v>0</v>
      </c>
    </row>
    <row r="43" spans="1:12" ht="12.75">
      <c r="A43" s="13" t="s">
        <v>215</v>
      </c>
      <c r="B43" s="14"/>
      <c r="C43" s="146">
        <f>1000000/C42</f>
        <v>5076.711678286845</v>
      </c>
      <c r="D43" s="146">
        <f aca="true" t="shared" si="14" ref="D43:I43">1000000/D42</f>
        <v>8366.09885733031</v>
      </c>
      <c r="E43" s="146">
        <f t="shared" si="14"/>
        <v>13138.464500345826</v>
      </c>
      <c r="F43" s="146">
        <f t="shared" si="14"/>
        <v>18665.91310645777</v>
      </c>
      <c r="G43" s="146">
        <f t="shared" si="14"/>
        <v>23047.785899479477</v>
      </c>
      <c r="H43" s="146">
        <f t="shared" si="14"/>
        <v>22143.495174780484</v>
      </c>
      <c r="I43" s="146">
        <f t="shared" si="14"/>
        <v>3994.449535124609</v>
      </c>
      <c r="J43" s="14"/>
      <c r="K43" s="14"/>
      <c r="L43" s="15"/>
    </row>
    <row r="44" spans="1:12" ht="12.75">
      <c r="A44" s="77" t="s">
        <v>126</v>
      </c>
      <c r="B44" s="14"/>
      <c r="C44" s="81">
        <f>IF(C12&gt;0,1000*('CVD Data'!C14*UGC*Tres/P/5.6146)/C12,0)</f>
        <v>0.8081539504905183</v>
      </c>
      <c r="D44" s="81">
        <f>IF(D12&gt;0,1000*('CVD Data'!D14*UGC*Tres/P/5.6146)/D12,0)</f>
        <v>0.8118044961287643</v>
      </c>
      <c r="E44" s="81">
        <f>IF(E12&gt;0,1000*('CVD Data'!E14*UGC*Tres/P/5.6146)/E12,0)</f>
        <v>0.9397354262598809</v>
      </c>
      <c r="F44" s="81">
        <f>IF(F12&gt;0,1000*('CVD Data'!F14*UGC*Tres/P/5.6146)/F12,0)</f>
        <v>1.2712345342454987</v>
      </c>
      <c r="G44" s="81">
        <f>IF(G12&gt;0,1000*('CVD Data'!G14*UGC*Tres/P/5.6146)/G12,0)</f>
        <v>1.894267184020011</v>
      </c>
      <c r="H44" s="81">
        <f>IF(H12&gt;0,1000*('CVD Data'!H14*UGC*Tres/P/5.6146)/H12,0)</f>
        <v>3.7688486027272123</v>
      </c>
      <c r="I44" s="81">
        <f>IF(I12&gt;0,1000*('CVD Data'!I14*UGC*Tres/P/5.6146)/I12,0)</f>
        <v>263.88029440276347</v>
      </c>
      <c r="J44" s="81">
        <f>IF(J12&gt;0,1000*('CVD Data'!J14*UGC*Tres/P/5.6146)/J12,0)</f>
        <v>0</v>
      </c>
      <c r="K44" s="81">
        <f>IF(K12&gt;0,1000*('CVD Data'!K14*UGC*Tres/P/5.6146)/K12,0)</f>
        <v>0</v>
      </c>
      <c r="L44" s="82">
        <f>IF(L12&gt;0,1000*('CVD Data'!L14*UGC*Tres/P/5.6146)/L12,0)</f>
        <v>0</v>
      </c>
    </row>
    <row r="45" spans="1:12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</row>
    <row r="46" spans="1:12" ht="13.5" thickBot="1">
      <c r="A46" s="1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2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16" max="16" width="11.7109375" style="0" customWidth="1"/>
  </cols>
  <sheetData>
    <row r="1" ht="18">
      <c r="A1" s="29" t="s">
        <v>103</v>
      </c>
    </row>
    <row r="4" ht="12.75">
      <c r="A4" s="9" t="s">
        <v>60</v>
      </c>
    </row>
    <row r="5" ht="13.5" thickBot="1"/>
    <row r="6" spans="1:12" ht="12.75">
      <c r="A6" s="10" t="s">
        <v>129</v>
      </c>
      <c r="B6" s="11">
        <f>P_init</f>
        <v>10440</v>
      </c>
      <c r="C6" s="11">
        <f>IF('CVD Data'!C10&gt;1,'CVD Data'!C10,A6)</f>
        <v>5535</v>
      </c>
      <c r="D6" s="11">
        <f>IF('CVD Data'!D10&gt;1,'CVD Data'!D10,B6)</f>
        <v>4500</v>
      </c>
      <c r="E6" s="11">
        <f>IF('CVD Data'!E10&gt;1,'CVD Data'!E10,D6)</f>
        <v>3500</v>
      </c>
      <c r="F6" s="11">
        <f>IF('CVD Data'!F10&gt;1,'CVD Data'!F10,E6)</f>
        <v>2500</v>
      </c>
      <c r="G6" s="11">
        <f>IF('CVD Data'!G10&gt;1,'CVD Data'!G10,F6)</f>
        <v>1700</v>
      </c>
      <c r="H6" s="11">
        <f>IF('CVD Data'!H10&gt;1,'CVD Data'!H10,G6)</f>
        <v>900</v>
      </c>
      <c r="I6" s="11">
        <f>IF('CVD Data'!I10&gt;1,'CVD Data'!I10,H6)</f>
        <v>2</v>
      </c>
      <c r="J6" s="11">
        <f>IF('CVD Data'!J10&gt;1,'CVD Data'!J10,I6)</f>
        <v>2</v>
      </c>
      <c r="K6" s="11">
        <f>IF('CVD Data'!K10&gt;1,'CVD Data'!K10,J6)</f>
        <v>2</v>
      </c>
      <c r="L6" s="12">
        <f>IF('CVD Data'!L10&gt;1,'CVD Data'!L10,K6)</f>
        <v>2</v>
      </c>
    </row>
    <row r="7" spans="1:12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12.75">
      <c r="A8" s="13" t="s">
        <v>62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ht="13.5" thickBot="1">
      <c r="A9" s="13" t="str">
        <f>'CVD Data'!B20</f>
        <v>C1</v>
      </c>
      <c r="B9" s="23">
        <v>0</v>
      </c>
      <c r="C9" s="21">
        <f>IF(C$6="","",1-'CVD analysis'!C56/'CVD analysis'!$C56*N_init)</f>
        <v>0.16285000000000005</v>
      </c>
      <c r="D9" s="21">
        <f>IF(D$6="","",1-'CVD analysis'!D56/'CVD analysis'!$C56*N_init)</f>
        <v>0.2332047100907253</v>
      </c>
      <c r="E9" s="21">
        <f>IF(E$6="","",1-'CVD analysis'!E56/'CVD analysis'!$C56*N_init)</f>
        <v>0.3608984017354725</v>
      </c>
      <c r="F9" s="21">
        <f>IF(F$6="","",1-'CVD analysis'!F56/'CVD analysis'!$C56*N_init)</f>
        <v>0.5275373630614066</v>
      </c>
      <c r="G9" s="21">
        <f>IF(G$6="","",1-'CVD analysis'!G56/'CVD analysis'!$C56*N_init)</f>
        <v>0.6795297535643957</v>
      </c>
      <c r="H9" s="21">
        <f>IF(H$6="","",1-'CVD analysis'!H56/'CVD analysis'!$C56*N_init)</f>
        <v>0.8416853180170549</v>
      </c>
      <c r="I9" s="21">
        <f>IF(I$6="","",1-'CVD analysis'!I56/'CVD analysis'!$C56*N_init)</f>
        <v>0.9883843552225934</v>
      </c>
      <c r="J9" s="21">
        <f>IF(J$6="","",1-'CVD analysis'!J56/'CVD analysis'!$C56*N_init)</f>
        <v>0.9883843552225934</v>
      </c>
      <c r="K9" s="21">
        <f>IF(K$6="","",1-'CVD analysis'!K56/'CVD analysis'!$C56*N_init)</f>
        <v>0.9883843552225934</v>
      </c>
      <c r="L9" s="22">
        <f>IF(L$6="","",1-'CVD analysis'!L56/'CVD analysis'!$C56*N_init)</f>
        <v>0.9883843552225934</v>
      </c>
      <c r="M9" s="20"/>
    </row>
    <row r="10" spans="1:17" ht="12.75">
      <c r="A10" s="13" t="str">
        <f>'CVD Data'!B21</f>
        <v>C2</v>
      </c>
      <c r="B10" s="23">
        <v>0</v>
      </c>
      <c r="C10" s="21">
        <f>IF(C$6="","",1-'CVD analysis'!C57/'CVD analysis'!$C57*N_init)</f>
        <v>0.16285000000000005</v>
      </c>
      <c r="D10" s="21">
        <f>IF(D$6="","",1-'CVD analysis'!D57/'CVD analysis'!$C57*N_init)</f>
        <v>0.23108502860933955</v>
      </c>
      <c r="E10" s="21">
        <f>IF(E$6="","",1-'CVD analysis'!E57/'CVD analysis'!$C57*N_init)</f>
        <v>0.3519914375763098</v>
      </c>
      <c r="F10" s="21">
        <f>IF(F$6="","",1-'CVD analysis'!F57/'CVD analysis'!$C57*N_init)</f>
        <v>0.5119843895780183</v>
      </c>
      <c r="G10" s="21">
        <f>IF(G$6="","",1-'CVD analysis'!G57/'CVD analysis'!$C57*N_init)</f>
        <v>0.6599832775679102</v>
      </c>
      <c r="H10" s="21">
        <f>IF(H$6="","",1-'CVD analysis'!H57/'CVD analysis'!$C57*N_init)</f>
        <v>0.8221562663774202</v>
      </c>
      <c r="I10" s="21">
        <f>IF(I$6="","",1-'CVD analysis'!I57/'CVD analysis'!$C57*N_init)</f>
        <v>0.9923503058902335</v>
      </c>
      <c r="J10" s="21">
        <f>IF(J$6="","",1-'CVD analysis'!J57/'CVD analysis'!$C57*N_init)</f>
        <v>0.9923503058902335</v>
      </c>
      <c r="K10" s="21">
        <f>IF(K$6="","",1-'CVD analysis'!K57/'CVD analysis'!$C57*N_init)</f>
        <v>0.9923503058902335</v>
      </c>
      <c r="L10" s="22">
        <f>IF(L$6="","",1-'CVD analysis'!L57/'CVD analysis'!$C57*N_init)</f>
        <v>0.9923503058902335</v>
      </c>
      <c r="M10" s="20"/>
      <c r="P10" s="27" t="s">
        <v>66</v>
      </c>
      <c r="Q10" s="12">
        <f>Tablook(-P_init,P_CCE,V_CCE)</f>
        <v>0.83715</v>
      </c>
    </row>
    <row r="11" spans="1:17" ht="12.75">
      <c r="A11" s="13" t="str">
        <f>'CVD Data'!B22</f>
        <v>C3</v>
      </c>
      <c r="B11" s="23">
        <v>0</v>
      </c>
      <c r="C11" s="21">
        <f>IF(C$6="","",1-'CVD analysis'!C58/'CVD analysis'!$C58*N_init)</f>
        <v>0.16285000000000005</v>
      </c>
      <c r="D11" s="21">
        <f>IF(D$6="","",1-'CVD analysis'!D58/'CVD analysis'!$C58*N_init)</f>
        <v>0.2283713308806038</v>
      </c>
      <c r="E11" s="21">
        <f>IF(E$6="","",1-'CVD analysis'!E58/'CVD analysis'!$C58*N_init)</f>
        <v>0.34341154121811324</v>
      </c>
      <c r="F11" s="21">
        <f>IF(F$6="","",1-'CVD analysis'!F58/'CVD analysis'!$C58*N_init)</f>
        <v>0.4911549133203774</v>
      </c>
      <c r="G11" s="21">
        <f>IF(G$6="","",1-'CVD analysis'!G58/'CVD analysis'!$C58*N_init)</f>
        <v>0.6250070403726038</v>
      </c>
      <c r="H11" s="21">
        <f>IF(H$6="","",1-'CVD analysis'!H58/'CVD analysis'!$C58*N_init)</f>
        <v>0.7840029961063396</v>
      </c>
      <c r="I11" s="21">
        <f>IF(I$6="","",1-'CVD analysis'!I58/'CVD analysis'!$C58*N_init)</f>
        <v>0.9873986710513962</v>
      </c>
      <c r="J11" s="21">
        <f>IF(J$6="","",1-'CVD analysis'!J58/'CVD analysis'!$C58*N_init)</f>
        <v>0.9873986710513962</v>
      </c>
      <c r="K11" s="21">
        <f>IF(K$6="","",1-'CVD analysis'!K58/'CVD analysis'!$C58*N_init)</f>
        <v>0.9873986710513962</v>
      </c>
      <c r="L11" s="22">
        <f>IF(L$6="","",1-'CVD analysis'!L58/'CVD analysis'!$C58*N_init)</f>
        <v>0.9873986710513962</v>
      </c>
      <c r="M11" s="20"/>
      <c r="P11" s="72" t="s">
        <v>65</v>
      </c>
      <c r="Q11" s="15">
        <f>Tablook(-Pdew,P_CCE,V_CCE)</f>
        <v>1</v>
      </c>
    </row>
    <row r="12" spans="1:17" ht="13.5" thickBot="1">
      <c r="A12" s="13" t="s">
        <v>68</v>
      </c>
      <c r="B12" s="23">
        <v>0</v>
      </c>
      <c r="C12" s="23">
        <f>IF(C$6="","",1-('CVD analysis'!C59+'CVD analysis'!C60)/('CVD analysis'!$C59+'CVD analysis'!$C60)*N_init)</f>
        <v>0.16285000000000005</v>
      </c>
      <c r="D12" s="23">
        <f>IF(D$6="","",1-('CVD analysis'!D59+'CVD analysis'!D60)/('CVD analysis'!$C59+'CVD analysis'!$C60)*N_init)</f>
        <v>0.22592249839978606</v>
      </c>
      <c r="E12" s="23">
        <f>IF(E$6="","",1-('CVD analysis'!E59+'CVD analysis'!E60)/('CVD analysis'!$C59+'CVD analysis'!$C60)*N_init)</f>
        <v>0.3333691439844797</v>
      </c>
      <c r="F12" s="23">
        <f>IF(F$6="","",1-('CVD analysis'!F59+'CVD analysis'!F60)/('CVD analysis'!$C59+'CVD analysis'!$C60)*N_init)</f>
        <v>0.47087681111252366</v>
      </c>
      <c r="G12" s="23">
        <f>IF(G$6="","",1-('CVD analysis'!G59+'CVD analysis'!G60)/('CVD analysis'!$C59+'CVD analysis'!$C60)*N_init)</f>
        <v>0.5963316531186782</v>
      </c>
      <c r="H12" s="23">
        <f>IF(H$6="","",1-('CVD analysis'!H59+'CVD analysis'!H60)/('CVD analysis'!$C59+'CVD analysis'!$C60)*N_init)</f>
        <v>0.7478090374151725</v>
      </c>
      <c r="I12" s="23">
        <f>IF(I$6="","",1-('CVD analysis'!I59+'CVD analysis'!I60)/('CVD analysis'!$C59+'CVD analysis'!$C60)*N_init)</f>
        <v>0.981066751708456</v>
      </c>
      <c r="J12" s="23">
        <f>IF(J$6="","",1-('CVD analysis'!J59+'CVD analysis'!J60)/('CVD analysis'!$C59+'CVD analysis'!$C60)*N_init)</f>
        <v>0.981066751708456</v>
      </c>
      <c r="K12" s="23">
        <f>IF(K$6="","",1-('CVD analysis'!K59+'CVD analysis'!K60)/('CVD analysis'!$C59+'CVD analysis'!$C60)*N_init)</f>
        <v>0.981066751708456</v>
      </c>
      <c r="L12" s="24">
        <f>IF(L$6="","",1-('CVD analysis'!L59+'CVD analysis'!L60)/('CVD analysis'!$C59+'CVD analysis'!$C60)*N_init)</f>
        <v>0.981066751708456</v>
      </c>
      <c r="M12" s="20"/>
      <c r="P12" s="56" t="s">
        <v>67</v>
      </c>
      <c r="Q12" s="28">
        <f>V_Pinit/V_Pdew</f>
        <v>0.83715</v>
      </c>
    </row>
    <row r="13" spans="1:13" ht="12.75">
      <c r="A13" s="13" t="s">
        <v>69</v>
      </c>
      <c r="B13" s="23">
        <v>0</v>
      </c>
      <c r="C13" s="23">
        <f>IF(C$6="","",1-('CVD analysis'!C61+'CVD analysis'!C62)/('CVD analysis'!$C61+'CVD analysis'!$C62)*N_init)</f>
        <v>0.16285000000000005</v>
      </c>
      <c r="D13" s="23">
        <f>IF(D$6="","",1-('CVD analysis'!D61+'CVD analysis'!D62)/('CVD analysis'!$C61+'CVD analysis'!$C62)*N_init)</f>
        <v>0.2252194586862859</v>
      </c>
      <c r="E13" s="23">
        <f>IF(E$6="","",1-('CVD analysis'!E61+'CVD analysis'!E62)/('CVD analysis'!$C61+'CVD analysis'!$C62)*N_init)</f>
        <v>0.33030958357033546</v>
      </c>
      <c r="F13" s="23">
        <f>IF(F$6="","",1-('CVD analysis'!F61+'CVD analysis'!F62)/('CVD analysis'!$C61+'CVD analysis'!$C62)*N_init)</f>
        <v>0.4579190335997646</v>
      </c>
      <c r="G13" s="23">
        <f>IF(G$6="","",1-('CVD analysis'!G61+'CVD analysis'!G62)/('CVD analysis'!$C61+'CVD analysis'!$C62)*N_init)</f>
        <v>0.567990580386698</v>
      </c>
      <c r="H13" s="23">
        <f>IF(H$6="","",1-('CVD analysis'!H61+'CVD analysis'!H62)/('CVD analysis'!$C61+'CVD analysis'!$C62)*N_init)</f>
        <v>0.7054639338334313</v>
      </c>
      <c r="I13" s="23">
        <f>IF(I$6="","",1-('CVD analysis'!I61+'CVD analysis'!I62)/('CVD analysis'!$C61+'CVD analysis'!$C62)*N_init)</f>
        <v>0.9371924541653914</v>
      </c>
      <c r="J13" s="23">
        <f>IF(J$6="","",1-('CVD analysis'!J61+'CVD analysis'!J62)/('CVD analysis'!$C61+'CVD analysis'!$C62)*N_init)</f>
        <v>0.9371924541653914</v>
      </c>
      <c r="K13" s="23">
        <f>IF(K$6="","",1-('CVD analysis'!K61+'CVD analysis'!K62)/('CVD analysis'!$C61+'CVD analysis'!$C62)*N_init)</f>
        <v>0.9371924541653914</v>
      </c>
      <c r="L13" s="24">
        <f>IF(L$6="","",1-('CVD analysis'!L61+'CVD analysis'!L62)/('CVD analysis'!$C61+'CVD analysis'!$C62)*N_init)</f>
        <v>0.9371924541653914</v>
      </c>
      <c r="M13" s="20"/>
    </row>
    <row r="14" spans="1:13" ht="12.75">
      <c r="A14" s="13" t="str">
        <f>'CVD Data'!B27</f>
        <v>C6</v>
      </c>
      <c r="B14" s="23">
        <v>0</v>
      </c>
      <c r="C14" s="21">
        <f>IF(C$6="","",1-'CVD analysis'!C63/'CVD analysis'!$C63*N_init)</f>
        <v>0.16285000000000005</v>
      </c>
      <c r="D14" s="21">
        <f>IF(D$6="","",1-'CVD analysis'!D63/'CVD analysis'!$C63*N_init)</f>
        <v>0.22196448242561984</v>
      </c>
      <c r="E14" s="21">
        <f>IF(E$6="","",1-'CVD analysis'!E63/'CVD analysis'!$C63*N_init)</f>
        <v>0.3153402972045455</v>
      </c>
      <c r="F14" s="21">
        <f>IF(F$6="","",1-'CVD analysis'!F63/'CVD analysis'!$C63*N_init)</f>
        <v>0.4243729012102274</v>
      </c>
      <c r="G14" s="21">
        <f>IF(G$6="","",1-'CVD analysis'!G63/'CVD analysis'!$C63*N_init)</f>
        <v>0.5155445726844009</v>
      </c>
      <c r="H14" s="21">
        <f>IF(H$6="","",1-'CVD analysis'!H63/'CVD analysis'!$C63*N_init)</f>
        <v>0.6228008879509297</v>
      </c>
      <c r="I14" s="21">
        <f>IF(I$6="","",1-'CVD analysis'!I63/'CVD analysis'!$C63*N_init)</f>
        <v>0.8409579576079547</v>
      </c>
      <c r="J14" s="21">
        <f>IF(J$6="","",1-'CVD analysis'!J63/'CVD analysis'!$C63*N_init)</f>
        <v>0.8409579576079547</v>
      </c>
      <c r="K14" s="21">
        <f>IF(K$6="","",1-'CVD analysis'!K63/'CVD analysis'!$C63*N_init)</f>
        <v>0.8409579576079547</v>
      </c>
      <c r="L14" s="22">
        <f>IF(L$6="","",1-'CVD analysis'!L63/'CVD analysis'!$C63*N_init)</f>
        <v>0.8409579576079547</v>
      </c>
      <c r="M14" s="20"/>
    </row>
    <row r="15" spans="1:13" ht="13.5" thickBot="1">
      <c r="A15" s="16" t="str">
        <f>'CVD Data'!B33</f>
        <v>C7+</v>
      </c>
      <c r="B15" s="97">
        <v>0</v>
      </c>
      <c r="C15" s="25">
        <f>IF(C$6="","",1-'CVD analysis'!C69/'CVD analysis'!$C69*N_init)</f>
        <v>0.16285000000000005</v>
      </c>
      <c r="D15" s="25">
        <f>IF(D$6="","",1-'CVD analysis'!D69/'CVD analysis'!$C69*N_init)</f>
        <v>0.206294298541295</v>
      </c>
      <c r="E15" s="25">
        <f>IF(E$6="","",1-'CVD analysis'!E69/'CVD analysis'!$C69*N_init)</f>
        <v>0.25427567071046286</v>
      </c>
      <c r="F15" s="25">
        <f>IF(F$6="","",1-'CVD analysis'!F69/'CVD analysis'!$C69*N_init)</f>
        <v>0.29535655133802086</v>
      </c>
      <c r="G15" s="25">
        <f>IF(G$6="","",1-'CVD analysis'!G69/'CVD analysis'!$C69*N_init)</f>
        <v>0.3239860446741526</v>
      </c>
      <c r="H15" s="25">
        <f>IF(H$6="","",1-'CVD analysis'!H69/'CVD analysis'!$C69*N_init)</f>
        <v>0.35507190426067803</v>
      </c>
      <c r="I15" s="25">
        <f>IF(I$6="","",1-'CVD analysis'!I69/'CVD analysis'!$C69*N_init)</f>
        <v>0.5962607141882676</v>
      </c>
      <c r="J15" s="25">
        <f>IF(J$6="","",1-'CVD analysis'!J69/'CVD analysis'!$C69*N_init)</f>
        <v>0.5962607141882676</v>
      </c>
      <c r="K15" s="25">
        <f>IF(K$6="","",1-'CVD analysis'!K69/'CVD analysis'!$C69*N_init)</f>
        <v>0.5962607141882676</v>
      </c>
      <c r="L15" s="26">
        <f>IF(L$6="","",1-'CVD analysis'!L69/'CVD analysis'!$C69*N_init)</f>
        <v>0.5962607141882676</v>
      </c>
      <c r="M15" s="20"/>
    </row>
    <row r="17" spans="1:15" ht="12.75">
      <c r="A17" s="9" t="s">
        <v>135</v>
      </c>
      <c r="B17" s="23">
        <v>0</v>
      </c>
      <c r="C17" s="21">
        <f aca="true" t="shared" si="0" ref="C17:L17">IF(C$6="","",1-(1-C42/Initial_gas)*N_init)</f>
        <v>0.16285000000000005</v>
      </c>
      <c r="D17" s="21">
        <f t="shared" si="0"/>
        <v>0.23232143271913908</v>
      </c>
      <c r="E17" s="21">
        <f t="shared" si="0"/>
        <v>0.3575669308027334</v>
      </c>
      <c r="F17" s="21">
        <f t="shared" si="0"/>
        <v>0.5209064889072548</v>
      </c>
      <c r="G17" s="21">
        <f t="shared" si="0"/>
        <v>0.6700131402004728</v>
      </c>
      <c r="H17" s="21">
        <f t="shared" si="0"/>
        <v>0.8314743462222025</v>
      </c>
      <c r="I17" s="21">
        <f t="shared" si="0"/>
        <v>0.98808377769795</v>
      </c>
      <c r="J17" s="21">
        <f t="shared" si="0"/>
        <v>0.98808377769795</v>
      </c>
      <c r="K17" s="21">
        <f t="shared" si="0"/>
        <v>0.98808377769795</v>
      </c>
      <c r="L17" s="21">
        <f t="shared" si="0"/>
        <v>0.98808377769795</v>
      </c>
      <c r="N17" s="73"/>
      <c r="O17" s="73"/>
    </row>
    <row r="18" spans="1:12" ht="12.75">
      <c r="A18" s="9" t="s">
        <v>140</v>
      </c>
      <c r="B18" s="23">
        <v>0</v>
      </c>
      <c r="C18" s="21">
        <f aca="true" t="shared" si="1" ref="C18:L18">IF(C$6="","",1-(1-C61/Initial_oil)*N_init)</f>
        <v>0.16285000000000005</v>
      </c>
      <c r="D18" s="21">
        <f t="shared" si="1"/>
        <v>0.20500661801360986</v>
      </c>
      <c r="E18" s="21">
        <f t="shared" si="1"/>
        <v>0.25340156422342774</v>
      </c>
      <c r="F18" s="21">
        <f t="shared" si="1"/>
        <v>0.29782627773334713</v>
      </c>
      <c r="G18" s="21">
        <f t="shared" si="1"/>
        <v>0.33066984375882036</v>
      </c>
      <c r="H18" s="21">
        <f t="shared" si="1"/>
        <v>0.3676871250746603</v>
      </c>
      <c r="I18" s="21">
        <f t="shared" si="1"/>
        <v>0.5667285506106542</v>
      </c>
      <c r="J18" s="21">
        <f t="shared" si="1"/>
        <v>0.5667285506106542</v>
      </c>
      <c r="K18" s="21">
        <f t="shared" si="1"/>
        <v>0.5667285506106542</v>
      </c>
      <c r="L18" s="21">
        <f t="shared" si="1"/>
        <v>0.5667285506106542</v>
      </c>
    </row>
    <row r="20" ht="16.5" customHeight="1"/>
    <row r="21" s="74" customFormat="1" ht="14.25" customHeight="1">
      <c r="A21" s="74" t="s">
        <v>132</v>
      </c>
    </row>
    <row r="22" spans="1:12" s="74" customFormat="1" ht="12.75">
      <c r="A22" s="74" t="s">
        <v>1</v>
      </c>
      <c r="C22" s="74">
        <v>0</v>
      </c>
      <c r="D22" s="94">
        <f>'CVD analysis'!C53-'CVD analysis'!D53</f>
        <v>0.03230280000000002</v>
      </c>
      <c r="E22" s="94">
        <f>'CVD analysis'!D53-'CVD analysis'!E53</f>
        <v>0.060637319999999995</v>
      </c>
      <c r="F22" s="94">
        <f>'CVD analysis'!E53-'CVD analysis'!F53</f>
        <v>0.07949370000000003</v>
      </c>
      <c r="G22" s="94">
        <f>'CVD analysis'!F53-'CVD analysis'!G53</f>
        <v>0.07120478</v>
      </c>
      <c r="H22" s="94">
        <f>'CVD analysis'!G53-'CVD analysis'!H53</f>
        <v>0.07572175999999993</v>
      </c>
      <c r="I22" s="94">
        <f>'CVD analysis'!H53-'CVD analysis'!I53</f>
        <v>0.06664490000000005</v>
      </c>
      <c r="J22" s="94">
        <f>'CVD analysis'!I53-'CVD analysis'!J53</f>
        <v>0</v>
      </c>
      <c r="K22" s="94">
        <f>'CVD analysis'!J53-'CVD analysis'!K53</f>
        <v>0</v>
      </c>
      <c r="L22" s="94">
        <f>'CVD analysis'!K53-'CVD analysis'!L53</f>
        <v>0</v>
      </c>
    </row>
    <row r="23" spans="1:12" s="74" customFormat="1" ht="12.75">
      <c r="A23" s="74" t="s">
        <v>0</v>
      </c>
      <c r="C23" s="74">
        <v>0</v>
      </c>
      <c r="D23" s="94">
        <f>'CVD analysis'!C54-'CVD analysis'!D54</f>
        <v>0.1458810399999999</v>
      </c>
      <c r="E23" s="94">
        <f>'CVD analysis'!D54-'CVD analysis'!E54</f>
        <v>0.26089452000000013</v>
      </c>
      <c r="F23" s="94">
        <f>'CVD analysis'!E54-'CVD analysis'!F54</f>
        <v>0.3415351500000001</v>
      </c>
      <c r="G23" s="94">
        <f>'CVD analysis'!F54-'CVD analysis'!G54</f>
        <v>0.31545183999999993</v>
      </c>
      <c r="H23" s="94">
        <f>'CVD analysis'!G54-'CVD analysis'!H54</f>
        <v>0.34410939999999973</v>
      </c>
      <c r="I23" s="94">
        <f>'CVD analysis'!H54-'CVD analysis'!I54</f>
        <v>0.3206912800000002</v>
      </c>
      <c r="J23" s="94">
        <f>'CVD analysis'!I54-'CVD analysis'!J54</f>
        <v>0</v>
      </c>
      <c r="K23" s="94">
        <f>'CVD analysis'!J54-'CVD analysis'!K54</f>
        <v>0</v>
      </c>
      <c r="L23" s="94">
        <f>'CVD analysis'!K54-'CVD analysis'!L54</f>
        <v>0</v>
      </c>
    </row>
    <row r="24" spans="1:12" s="74" customFormat="1" ht="12.75">
      <c r="A24" s="74" t="s">
        <v>153</v>
      </c>
      <c r="C24" s="74">
        <v>0</v>
      </c>
      <c r="D24" s="94">
        <f>'CVD analysis'!C55-'CVD analysis'!D55</f>
        <v>0</v>
      </c>
      <c r="E24" s="94">
        <f>'CVD analysis'!D55-'CVD analysis'!E55</f>
        <v>0</v>
      </c>
      <c r="F24" s="94">
        <f>'CVD analysis'!E55-'CVD analysis'!F55</f>
        <v>0</v>
      </c>
      <c r="G24" s="94">
        <f>'CVD analysis'!F55-'CVD analysis'!G55</f>
        <v>0</v>
      </c>
      <c r="H24" s="94">
        <f>'CVD analysis'!G55-'CVD analysis'!H55</f>
        <v>0</v>
      </c>
      <c r="I24" s="94">
        <f>'CVD analysis'!H55-'CVD analysis'!I55</f>
        <v>0</v>
      </c>
      <c r="J24" s="94">
        <f>'CVD analysis'!I55-'CVD analysis'!J55</f>
        <v>0</v>
      </c>
      <c r="K24" s="94">
        <f>'CVD analysis'!J55-'CVD analysis'!K55</f>
        <v>0</v>
      </c>
      <c r="L24" s="94">
        <f>'CVD analysis'!K55-'CVD analysis'!L55</f>
        <v>0</v>
      </c>
    </row>
    <row r="25" spans="1:12" s="74" customFormat="1" ht="12.75">
      <c r="A25" s="74" t="s">
        <v>2</v>
      </c>
      <c r="C25" s="74">
        <v>0</v>
      </c>
      <c r="D25" s="94">
        <f>'CVD analysis'!C56-'CVD analysis'!D56</f>
        <v>5.73578088</v>
      </c>
      <c r="E25" s="94">
        <f>'CVD analysis'!D56-'CVD analysis'!E56</f>
        <v>10.410433560000001</v>
      </c>
      <c r="F25" s="94">
        <f>'CVD analysis'!E56-'CVD analysis'!F56</f>
        <v>13.585509300000005</v>
      </c>
      <c r="G25" s="94">
        <f>'CVD analysis'!F56-'CVD analysis'!G56</f>
        <v>12.391424059999999</v>
      </c>
      <c r="H25" s="94">
        <f>'CVD analysis'!G56-'CVD analysis'!H56</f>
        <v>13.219993159999989</v>
      </c>
      <c r="I25" s="94">
        <f>'CVD analysis'!H56-'CVD analysis'!I56</f>
        <v>11.959874920000008</v>
      </c>
      <c r="J25" s="94">
        <f>'CVD analysis'!I56-'CVD analysis'!J56</f>
        <v>0</v>
      </c>
      <c r="K25" s="94">
        <f>'CVD analysis'!J56-'CVD analysis'!K56</f>
        <v>0</v>
      </c>
      <c r="L25" s="94">
        <f>'CVD analysis'!K56-'CVD analysis'!L56</f>
        <v>0</v>
      </c>
    </row>
    <row r="26" spans="1:12" s="74" customFormat="1" ht="12.75">
      <c r="A26" s="74" t="s">
        <v>3</v>
      </c>
      <c r="C26" s="74">
        <v>0</v>
      </c>
      <c r="D26" s="94">
        <f>'CVD analysis'!C57-'CVD analysis'!D57</f>
        <v>0.5725172800000005</v>
      </c>
      <c r="E26" s="94">
        <f>'CVD analysis'!D57-'CVD analysis'!E57</f>
        <v>1.0144497599999998</v>
      </c>
      <c r="F26" s="94">
        <f>'CVD analysis'!E57-'CVD analysis'!F57</f>
        <v>1.3424004000000007</v>
      </c>
      <c r="G26" s="94">
        <f>'CVD analysis'!F57-'CVD analysis'!G57</f>
        <v>1.24176574</v>
      </c>
      <c r="H26" s="94">
        <f>'CVD analysis'!G57-'CVD analysis'!H57</f>
        <v>1.3606917199999988</v>
      </c>
      <c r="I26" s="94">
        <f>'CVD analysis'!H57-'CVD analysis'!I57</f>
        <v>1.4279913200000007</v>
      </c>
      <c r="J26" s="94">
        <f>'CVD analysis'!I57-'CVD analysis'!J57</f>
        <v>0</v>
      </c>
      <c r="K26" s="94">
        <f>'CVD analysis'!J57-'CVD analysis'!K57</f>
        <v>0</v>
      </c>
      <c r="L26" s="94">
        <f>'CVD analysis'!K57-'CVD analysis'!L57</f>
        <v>0</v>
      </c>
    </row>
    <row r="27" spans="1:12" s="74" customFormat="1" ht="12.75">
      <c r="A27" s="74" t="s">
        <v>4</v>
      </c>
      <c r="C27" s="74">
        <v>0</v>
      </c>
      <c r="D27" s="94">
        <f>'CVD analysis'!C58-'CVD analysis'!D58</f>
        <v>0.5185197600000002</v>
      </c>
      <c r="E27" s="94">
        <f>'CVD analysis'!D58-'CVD analysis'!E58</f>
        <v>0.9104000399999999</v>
      </c>
      <c r="F27" s="94">
        <f>'CVD analysis'!E58-'CVD analysis'!F58</f>
        <v>1.1692048500000007</v>
      </c>
      <c r="G27" s="94">
        <f>'CVD analysis'!F58-'CVD analysis'!G58</f>
        <v>1.0592729399999996</v>
      </c>
      <c r="H27" s="94">
        <f>'CVD analysis'!G58-'CVD analysis'!H58</f>
        <v>1.258255039999999</v>
      </c>
      <c r="I27" s="94">
        <f>'CVD analysis'!H58-'CVD analysis'!I58</f>
        <v>1.6096235400000007</v>
      </c>
      <c r="J27" s="94">
        <f>'CVD analysis'!I58-'CVD analysis'!J58</f>
        <v>0</v>
      </c>
      <c r="K27" s="94">
        <f>'CVD analysis'!J58-'CVD analysis'!K58</f>
        <v>0</v>
      </c>
      <c r="L27" s="94">
        <f>'CVD analysis'!K58-'CVD analysis'!L58</f>
        <v>0</v>
      </c>
    </row>
    <row r="28" spans="1:12" s="74" customFormat="1" ht="12.75">
      <c r="A28" s="74" t="s">
        <v>5</v>
      </c>
      <c r="C28" s="74">
        <v>0</v>
      </c>
      <c r="D28" s="94">
        <f>'CVD analysis'!C59-'CVD analysis'!D59</f>
        <v>0.10783552000000007</v>
      </c>
      <c r="E28" s="94">
        <f>'CVD analysis'!D59-'CVD analysis'!E59</f>
        <v>0.18373247999999998</v>
      </c>
      <c r="F28" s="94">
        <f>'CVD analysis'!E59-'CVD analysis'!F59</f>
        <v>0.23380500000000004</v>
      </c>
      <c r="G28" s="94">
        <f>'CVD analysis'!F59-'CVD analysis'!G59</f>
        <v>0.21573255999999996</v>
      </c>
      <c r="H28" s="94">
        <f>'CVD analysis'!G59-'CVD analysis'!H59</f>
        <v>0.2586570399999998</v>
      </c>
      <c r="I28" s="94">
        <f>'CVD analysis'!H59-'CVD analysis'!I59</f>
        <v>0.39608954000000024</v>
      </c>
      <c r="J28" s="94">
        <f>'CVD analysis'!I59-'CVD analysis'!J59</f>
        <v>0</v>
      </c>
      <c r="K28" s="94">
        <f>'CVD analysis'!J59-'CVD analysis'!K59</f>
        <v>0</v>
      </c>
      <c r="L28" s="94">
        <f>'CVD analysis'!K59-'CVD analysis'!L59</f>
        <v>0</v>
      </c>
    </row>
    <row r="29" spans="1:12" s="74" customFormat="1" ht="12.75">
      <c r="A29" s="74" t="s">
        <v>6</v>
      </c>
      <c r="C29" s="74">
        <v>0</v>
      </c>
      <c r="D29" s="94">
        <f>'CVD analysis'!C60-'CVD analysis'!D60</f>
        <v>0.17371727999999997</v>
      </c>
      <c r="E29" s="94">
        <f>'CVD analysis'!D60-'CVD analysis'!E60</f>
        <v>0.2959045200000001</v>
      </c>
      <c r="F29" s="94">
        <f>'CVD analysis'!E60-'CVD analysis'!F60</f>
        <v>0.38002305000000014</v>
      </c>
      <c r="G29" s="94">
        <f>'CVD analysis'!F60-'CVD analysis'!G60</f>
        <v>0.3442922199999998</v>
      </c>
      <c r="H29" s="94">
        <f>'CVD analysis'!G60-'CVD analysis'!H60</f>
        <v>0.41753119999999966</v>
      </c>
      <c r="I29" s="94">
        <f>'CVD analysis'!H60-'CVD analysis'!I60</f>
        <v>0.6451624200000003</v>
      </c>
      <c r="J29" s="94">
        <f>'CVD analysis'!I60-'CVD analysis'!J60</f>
        <v>0</v>
      </c>
      <c r="K29" s="94">
        <f>'CVD analysis'!J60-'CVD analysis'!K60</f>
        <v>0</v>
      </c>
      <c r="L29" s="94">
        <f>'CVD analysis'!K60-'CVD analysis'!L60</f>
        <v>0</v>
      </c>
    </row>
    <row r="30" spans="1:12" s="74" customFormat="1" ht="12.75">
      <c r="A30" s="74" t="s">
        <v>7</v>
      </c>
      <c r="C30" s="74">
        <v>0</v>
      </c>
      <c r="D30" s="94">
        <f>'CVD analysis'!C61-'CVD analysis'!D61</f>
        <v>0.06380799999999998</v>
      </c>
      <c r="E30" s="94">
        <f>'CVD analysis'!D61-'CVD analysis'!E61</f>
        <v>0.10727063999999997</v>
      </c>
      <c r="F30" s="94">
        <f>'CVD analysis'!E61-'CVD analysis'!F61</f>
        <v>0.1302114000000001</v>
      </c>
      <c r="G30" s="94">
        <f>'CVD analysis'!F61-'CVD analysis'!G61</f>
        <v>0.11242859999999999</v>
      </c>
      <c r="H30" s="94">
        <f>'CVD analysis'!G61-'CVD analysis'!H61</f>
        <v>0.14418979999999987</v>
      </c>
      <c r="I30" s="94">
        <f>'CVD analysis'!H61-'CVD analysis'!I61</f>
        <v>0.24131422000000016</v>
      </c>
      <c r="J30" s="94">
        <f>'CVD analysis'!I61-'CVD analysis'!J61</f>
        <v>0</v>
      </c>
      <c r="K30" s="94">
        <f>'CVD analysis'!J61-'CVD analysis'!K61</f>
        <v>0</v>
      </c>
      <c r="L30" s="94">
        <f>'CVD analysis'!K61-'CVD analysis'!L61</f>
        <v>0</v>
      </c>
    </row>
    <row r="31" spans="1:12" s="74" customFormat="1" ht="12.75">
      <c r="A31" s="74" t="s">
        <v>8</v>
      </c>
      <c r="C31" s="74">
        <v>0</v>
      </c>
      <c r="D31" s="94">
        <f>'CVD analysis'!C62-'CVD analysis'!D62</f>
        <v>0.06277111999999996</v>
      </c>
      <c r="E31" s="94">
        <f>'CVD analysis'!D62-'CVD analysis'!E62</f>
        <v>0.10601028000000001</v>
      </c>
      <c r="F31" s="94">
        <f>'CVD analysis'!E62-'CVD analysis'!F62</f>
        <v>0.12877260000000001</v>
      </c>
      <c r="G31" s="94">
        <f>'CVD analysis'!F62-'CVD analysis'!G62</f>
        <v>0.11096213999999999</v>
      </c>
      <c r="H31" s="94">
        <f>'CVD analysis'!G62-'CVD analysis'!H62</f>
        <v>0.13481303999999988</v>
      </c>
      <c r="I31" s="94">
        <f>'CVD analysis'!H62-'CVD analysis'!I62</f>
        <v>0.22897994000000013</v>
      </c>
      <c r="J31" s="94">
        <f>'CVD analysis'!I62-'CVD analysis'!J62</f>
        <v>0</v>
      </c>
      <c r="K31" s="94">
        <f>'CVD analysis'!J62-'CVD analysis'!K62</f>
        <v>0</v>
      </c>
      <c r="L31" s="94">
        <f>'CVD analysis'!K62-'CVD analysis'!L62</f>
        <v>0</v>
      </c>
    </row>
    <row r="32" spans="1:12" s="74" customFormat="1" ht="12.75">
      <c r="A32" s="74" t="s">
        <v>9</v>
      </c>
      <c r="C32" s="74">
        <v>0</v>
      </c>
      <c r="D32" s="94">
        <f>'CVD analysis'!C63-'CVD analysis'!D63</f>
        <v>0.06835431999999997</v>
      </c>
      <c r="E32" s="94">
        <f>'CVD analysis'!D63-'CVD analysis'!E63</f>
        <v>0.10797084000000001</v>
      </c>
      <c r="F32" s="94">
        <f>'CVD analysis'!E63-'CVD analysis'!F63</f>
        <v>0.12607485000000007</v>
      </c>
      <c r="G32" s="94">
        <f>'CVD analysis'!F63-'CVD analysis'!G63</f>
        <v>0.10542218000000003</v>
      </c>
      <c r="H32" s="94">
        <f>'CVD analysis'!G63-'CVD analysis'!H63</f>
        <v>0.12402091999999987</v>
      </c>
      <c r="I32" s="94">
        <f>'CVD analysis'!H63-'CVD analysis'!I63</f>
        <v>0.25225592000000013</v>
      </c>
      <c r="J32" s="94">
        <f>'CVD analysis'!I63-'CVD analysis'!J63</f>
        <v>0</v>
      </c>
      <c r="K32" s="94">
        <f>'CVD analysis'!J63-'CVD analysis'!K63</f>
        <v>0</v>
      </c>
      <c r="L32" s="94">
        <f>'CVD analysis'!K63-'CVD analysis'!L63</f>
        <v>0</v>
      </c>
    </row>
    <row r="33" spans="1:12" s="74" customFormat="1" ht="12.75">
      <c r="A33" s="74" t="s">
        <v>10</v>
      </c>
      <c r="C33" s="74">
        <v>0</v>
      </c>
      <c r="D33" s="94">
        <f>'CVD analysis'!C69-'CVD analysis'!D69</f>
        <v>0.4945120000000003</v>
      </c>
      <c r="E33" s="94">
        <f>'CVD analysis'!D69-'CVD analysis'!E69</f>
        <v>0.5461559999999999</v>
      </c>
      <c r="F33" s="94">
        <f>'CVD analysis'!E69-'CVD analysis'!F69</f>
        <v>0.4676100000000005</v>
      </c>
      <c r="G33" s="94">
        <f>'CVD analysis'!F69-'CVD analysis'!G69</f>
        <v>0.3258799999999997</v>
      </c>
      <c r="H33" s="94">
        <f>'CVD analysis'!G69-'CVD analysis'!H69</f>
        <v>0.35383999999999993</v>
      </c>
      <c r="I33" s="94">
        <f>'CVD analysis'!H69-'CVD analysis'!I69</f>
        <v>2.7453720000000015</v>
      </c>
      <c r="J33" s="94">
        <f>'CVD analysis'!I69-'CVD analysis'!J69</f>
        <v>0</v>
      </c>
      <c r="K33" s="94">
        <f>'CVD analysis'!J69-'CVD analysis'!K69</f>
        <v>0</v>
      </c>
      <c r="L33" s="94">
        <f>'CVD analysis'!K69-'CVD analysis'!L69</f>
        <v>0</v>
      </c>
    </row>
    <row r="34" spans="14:15" s="74" customFormat="1" ht="12.75">
      <c r="N34" s="73"/>
      <c r="O34" s="73"/>
    </row>
    <row r="35" spans="1:12" ht="13.5" thickBot="1">
      <c r="A35" s="1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6" ht="12.75">
      <c r="A36" s="77" t="s">
        <v>133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N36" s="73" t="s">
        <v>112</v>
      </c>
      <c r="O36" s="73"/>
      <c r="P36" s="98" t="s">
        <v>136</v>
      </c>
    </row>
    <row r="37" spans="1:16" ht="12.75">
      <c r="A37" s="13" t="s">
        <v>109</v>
      </c>
      <c r="B37" s="14"/>
      <c r="C37" s="96">
        <f>SUM(C22:C27)</f>
        <v>0</v>
      </c>
      <c r="D37" s="96">
        <f aca="true" t="shared" si="2" ref="D37:L37">SUM(D22:D27)</f>
        <v>7.005001760000001</v>
      </c>
      <c r="E37" s="96">
        <f t="shared" si="2"/>
        <v>12.6568152</v>
      </c>
      <c r="F37" s="96">
        <f t="shared" si="2"/>
        <v>16.518143400000007</v>
      </c>
      <c r="G37" s="96">
        <f t="shared" si="2"/>
        <v>15.079119359999998</v>
      </c>
      <c r="H37" s="96">
        <f t="shared" si="2"/>
        <v>16.258771079999985</v>
      </c>
      <c r="I37" s="96">
        <f t="shared" si="2"/>
        <v>15.38482596000001</v>
      </c>
      <c r="J37" s="96">
        <f t="shared" si="2"/>
        <v>0</v>
      </c>
      <c r="K37" s="96">
        <f t="shared" si="2"/>
        <v>0</v>
      </c>
      <c r="L37" s="96">
        <f t="shared" si="2"/>
        <v>0</v>
      </c>
      <c r="P37" s="99">
        <f>SUM('CVD Data'!C17:C22)</f>
        <v>84.068</v>
      </c>
    </row>
    <row r="38" spans="1:16" ht="12.75">
      <c r="A38" s="13" t="s">
        <v>110</v>
      </c>
      <c r="B38" s="14"/>
      <c r="C38" s="96">
        <f>IF(Oil_frac&gt;Carbon_no,C28+C29,0)</f>
        <v>0</v>
      </c>
      <c r="D38" s="96">
        <f aca="true" t="shared" si="3" ref="D38:L38">IF(Oil_frac&gt;Carbon_no,D28+D29,0)</f>
        <v>0.28155280000000005</v>
      </c>
      <c r="E38" s="96">
        <f t="shared" si="3"/>
        <v>0.4796370000000001</v>
      </c>
      <c r="F38" s="96">
        <f t="shared" si="3"/>
        <v>0.6138280500000002</v>
      </c>
      <c r="G38" s="96">
        <f t="shared" si="3"/>
        <v>0.5600247799999998</v>
      </c>
      <c r="H38" s="96">
        <f t="shared" si="3"/>
        <v>0.6761882399999994</v>
      </c>
      <c r="I38" s="96">
        <f t="shared" si="3"/>
        <v>1.0412519600000005</v>
      </c>
      <c r="J38" s="96">
        <f t="shared" si="3"/>
        <v>0</v>
      </c>
      <c r="K38" s="96">
        <f t="shared" si="3"/>
        <v>0</v>
      </c>
      <c r="L38" s="96">
        <f t="shared" si="3"/>
        <v>0</v>
      </c>
      <c r="N38">
        <v>4</v>
      </c>
      <c r="P38" s="100">
        <f>IF(Oil_frac&gt;Carbon_no,'CVD Data'!C23+'CVD Data'!C24,0)</f>
        <v>3.737</v>
      </c>
    </row>
    <row r="39" spans="1:16" ht="12.75">
      <c r="A39" s="13" t="s">
        <v>111</v>
      </c>
      <c r="B39" s="14"/>
      <c r="C39" s="96">
        <f>IF(Oil_frac&gt;Carbon_no,C30+C31,0)</f>
        <v>0</v>
      </c>
      <c r="D39" s="96">
        <f aca="true" t="shared" si="4" ref="D39:L39">IF(Oil_frac&gt;Carbon_no,D30+D31,0)</f>
        <v>0</v>
      </c>
      <c r="E39" s="96">
        <f t="shared" si="4"/>
        <v>0</v>
      </c>
      <c r="F39" s="96">
        <f t="shared" si="4"/>
        <v>0</v>
      </c>
      <c r="G39" s="96">
        <f t="shared" si="4"/>
        <v>0</v>
      </c>
      <c r="H39" s="96">
        <f t="shared" si="4"/>
        <v>0</v>
      </c>
      <c r="I39" s="96">
        <f t="shared" si="4"/>
        <v>0</v>
      </c>
      <c r="J39" s="96">
        <f t="shared" si="4"/>
        <v>0</v>
      </c>
      <c r="K39" s="96">
        <f t="shared" si="4"/>
        <v>0</v>
      </c>
      <c r="L39" s="96">
        <f t="shared" si="4"/>
        <v>0</v>
      </c>
      <c r="N39">
        <v>5</v>
      </c>
      <c r="P39" s="100">
        <f>IF(Oil_frac&gt;Carbon_no,'CVD Data'!C25+'CVD Data'!C26,0)</f>
        <v>0</v>
      </c>
    </row>
    <row r="40" spans="1:16" ht="12.75">
      <c r="A40" s="13" t="s">
        <v>9</v>
      </c>
      <c r="B40" s="14"/>
      <c r="C40" s="96">
        <f>IF(Oil_frac&gt;Carbon_no,C32,0)</f>
        <v>0</v>
      </c>
      <c r="D40" s="96">
        <f aca="true" t="shared" si="5" ref="D40:L40">IF(Oil_frac&gt;Carbon_no,D32,0)</f>
        <v>0</v>
      </c>
      <c r="E40" s="96">
        <f t="shared" si="5"/>
        <v>0</v>
      </c>
      <c r="F40" s="96">
        <f t="shared" si="5"/>
        <v>0</v>
      </c>
      <c r="G40" s="96">
        <f t="shared" si="5"/>
        <v>0</v>
      </c>
      <c r="H40" s="96">
        <f t="shared" si="5"/>
        <v>0</v>
      </c>
      <c r="I40" s="96">
        <f t="shared" si="5"/>
        <v>0</v>
      </c>
      <c r="J40" s="96">
        <f t="shared" si="5"/>
        <v>0</v>
      </c>
      <c r="K40" s="96">
        <f t="shared" si="5"/>
        <v>0</v>
      </c>
      <c r="L40" s="96">
        <f t="shared" si="5"/>
        <v>0</v>
      </c>
      <c r="N40">
        <v>6</v>
      </c>
      <c r="P40" s="100">
        <f>IF(Oil_frac&gt;Carbon_no,'CVD Data'!C27,0)</f>
        <v>0</v>
      </c>
    </row>
    <row r="41" spans="1:17" s="9" customFormat="1" ht="13.5" thickBot="1">
      <c r="A41" s="78" t="s">
        <v>48</v>
      </c>
      <c r="B41" s="19"/>
      <c r="C41" s="79">
        <f>SUM(C37:C40)</f>
        <v>0</v>
      </c>
      <c r="D41" s="79">
        <f aca="true" t="shared" si="6" ref="D41:L41">SUM(D37:D40)</f>
        <v>7.286554560000001</v>
      </c>
      <c r="E41" s="79">
        <f t="shared" si="6"/>
        <v>13.1364522</v>
      </c>
      <c r="F41" s="79">
        <f t="shared" si="6"/>
        <v>17.131971450000005</v>
      </c>
      <c r="G41" s="79">
        <f t="shared" si="6"/>
        <v>15.639144139999997</v>
      </c>
      <c r="H41" s="79">
        <f t="shared" si="6"/>
        <v>16.934959319999983</v>
      </c>
      <c r="I41" s="79">
        <f t="shared" si="6"/>
        <v>16.42607792000001</v>
      </c>
      <c r="J41" s="79">
        <f t="shared" si="6"/>
        <v>0</v>
      </c>
      <c r="K41" s="79">
        <f t="shared" si="6"/>
        <v>0</v>
      </c>
      <c r="L41" s="79">
        <f t="shared" si="6"/>
        <v>0</v>
      </c>
      <c r="P41" s="101">
        <f>SUM(P37:P40)</f>
        <v>87.80499999999999</v>
      </c>
      <c r="Q41" s="73" t="s">
        <v>136</v>
      </c>
    </row>
    <row r="42" spans="1:12" s="9" customFormat="1" ht="12.75">
      <c r="A42" s="78" t="s">
        <v>134</v>
      </c>
      <c r="B42" s="19"/>
      <c r="C42" s="79">
        <f>SUM($C$41:C41)</f>
        <v>0</v>
      </c>
      <c r="D42" s="79">
        <f>SUM($C$41:D41)</f>
        <v>7.286554560000001</v>
      </c>
      <c r="E42" s="79">
        <f>SUM($C$41:E41)</f>
        <v>20.42300676</v>
      </c>
      <c r="F42" s="79">
        <f>SUM($C$41:F41)</f>
        <v>37.55497821</v>
      </c>
      <c r="G42" s="79">
        <f>SUM($C$41:G41)</f>
        <v>53.19412235</v>
      </c>
      <c r="H42" s="79">
        <f>SUM($C$41:H41)</f>
        <v>70.12908166999998</v>
      </c>
      <c r="I42" s="79">
        <f>SUM($C$41:I41)</f>
        <v>86.55515958999999</v>
      </c>
      <c r="J42" s="79">
        <f>SUM($C$41:J41)</f>
        <v>86.55515958999999</v>
      </c>
      <c r="K42" s="79">
        <f>SUM($C$41:K41)</f>
        <v>86.55515958999999</v>
      </c>
      <c r="L42" s="79">
        <f>SUM($C$41:L41)</f>
        <v>86.55515958999999</v>
      </c>
    </row>
    <row r="43" spans="1:12" s="9" customFormat="1" ht="12.75">
      <c r="A43" s="78"/>
      <c r="B43" s="1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3.5" thickBo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6" ht="12.75">
      <c r="A45" s="77" t="s">
        <v>137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P45" s="98" t="s">
        <v>138</v>
      </c>
    </row>
    <row r="46" spans="1:17" ht="12.75">
      <c r="A46" s="13" t="s">
        <v>5</v>
      </c>
      <c r="B46" s="14"/>
      <c r="C46" s="96">
        <f>IF(Oil_frac&lt;=Carbon_no,C28,0)</f>
        <v>0</v>
      </c>
      <c r="D46" s="96">
        <f aca="true" t="shared" si="7" ref="D46:L46">IF(Oil_frac&lt;=Carbon_no,D28,0)</f>
        <v>0</v>
      </c>
      <c r="E46" s="96">
        <f t="shared" si="7"/>
        <v>0</v>
      </c>
      <c r="F46" s="96">
        <f t="shared" si="7"/>
        <v>0</v>
      </c>
      <c r="G46" s="96">
        <f t="shared" si="7"/>
        <v>0</v>
      </c>
      <c r="H46" s="96">
        <f t="shared" si="7"/>
        <v>0</v>
      </c>
      <c r="I46" s="96">
        <f t="shared" si="7"/>
        <v>0</v>
      </c>
      <c r="J46" s="96">
        <f t="shared" si="7"/>
        <v>0</v>
      </c>
      <c r="K46" s="96">
        <f t="shared" si="7"/>
        <v>0</v>
      </c>
      <c r="L46" s="96">
        <f t="shared" si="7"/>
        <v>0</v>
      </c>
      <c r="N46">
        <v>4</v>
      </c>
      <c r="P46" s="100">
        <f>IF(Oil_frac&lt;=Carbon_no,'CVD Data'!C23,0)</f>
        <v>0</v>
      </c>
      <c r="Q46" t="s">
        <v>139</v>
      </c>
    </row>
    <row r="47" spans="1:16" ht="12.75">
      <c r="A47" s="13" t="s">
        <v>6</v>
      </c>
      <c r="B47" s="14"/>
      <c r="C47" s="96">
        <f aca="true" t="shared" si="8" ref="C47:L51">IF(Oil_frac&lt;=Carbon_no,C29,0)</f>
        <v>0</v>
      </c>
      <c r="D47" s="96">
        <f t="shared" si="8"/>
        <v>0</v>
      </c>
      <c r="E47" s="96">
        <f t="shared" si="8"/>
        <v>0</v>
      </c>
      <c r="F47" s="96">
        <f t="shared" si="8"/>
        <v>0</v>
      </c>
      <c r="G47" s="96">
        <f t="shared" si="8"/>
        <v>0</v>
      </c>
      <c r="H47" s="96">
        <f t="shared" si="8"/>
        <v>0</v>
      </c>
      <c r="I47" s="96">
        <f t="shared" si="8"/>
        <v>0</v>
      </c>
      <c r="J47" s="96">
        <f t="shared" si="8"/>
        <v>0</v>
      </c>
      <c r="K47" s="96">
        <f t="shared" si="8"/>
        <v>0</v>
      </c>
      <c r="L47" s="96">
        <f t="shared" si="8"/>
        <v>0</v>
      </c>
      <c r="N47">
        <v>4</v>
      </c>
      <c r="P47" s="100">
        <f>IF(Oil_frac&lt;=Carbon_no,'CVD Data'!C24,0)</f>
        <v>0</v>
      </c>
    </row>
    <row r="48" spans="1:16" ht="12.75">
      <c r="A48" s="13" t="s">
        <v>7</v>
      </c>
      <c r="B48" s="14"/>
      <c r="C48" s="96">
        <f t="shared" si="8"/>
        <v>0</v>
      </c>
      <c r="D48" s="96">
        <f t="shared" si="8"/>
        <v>0.06380799999999998</v>
      </c>
      <c r="E48" s="96">
        <f t="shared" si="8"/>
        <v>0.10727063999999997</v>
      </c>
      <c r="F48" s="96">
        <f t="shared" si="8"/>
        <v>0.1302114000000001</v>
      </c>
      <c r="G48" s="96">
        <f t="shared" si="8"/>
        <v>0.11242859999999999</v>
      </c>
      <c r="H48" s="96">
        <f t="shared" si="8"/>
        <v>0.14418979999999987</v>
      </c>
      <c r="I48" s="96">
        <f t="shared" si="8"/>
        <v>0.24131422000000016</v>
      </c>
      <c r="J48" s="96">
        <f t="shared" si="8"/>
        <v>0</v>
      </c>
      <c r="K48" s="96">
        <f t="shared" si="8"/>
        <v>0</v>
      </c>
      <c r="L48" s="96">
        <f t="shared" si="8"/>
        <v>0</v>
      </c>
      <c r="N48">
        <v>5</v>
      </c>
      <c r="P48" s="100">
        <f>IF(Oil_frac&lt;=Carbon_no,'CVD Data'!C25,0)</f>
        <v>0.857</v>
      </c>
    </row>
    <row r="49" spans="1:16" ht="12.75">
      <c r="A49" s="13" t="s">
        <v>8</v>
      </c>
      <c r="B49" s="14"/>
      <c r="C49" s="96">
        <f t="shared" si="8"/>
        <v>0</v>
      </c>
      <c r="D49" s="96">
        <f t="shared" si="8"/>
        <v>0.06277111999999996</v>
      </c>
      <c r="E49" s="96">
        <f t="shared" si="8"/>
        <v>0.10601028000000001</v>
      </c>
      <c r="F49" s="96">
        <f t="shared" si="8"/>
        <v>0.12877260000000001</v>
      </c>
      <c r="G49" s="96">
        <f t="shared" si="8"/>
        <v>0.11096213999999999</v>
      </c>
      <c r="H49" s="96">
        <f t="shared" si="8"/>
        <v>0.13481303999999988</v>
      </c>
      <c r="I49" s="96">
        <f t="shared" si="8"/>
        <v>0.22897994000000013</v>
      </c>
      <c r="J49" s="96">
        <f t="shared" si="8"/>
        <v>0</v>
      </c>
      <c r="K49" s="96">
        <f t="shared" si="8"/>
        <v>0</v>
      </c>
      <c r="L49" s="96">
        <f t="shared" si="8"/>
        <v>0</v>
      </c>
      <c r="N49">
        <v>5</v>
      </c>
      <c r="P49" s="100">
        <f>IF(Oil_frac&lt;=Carbon_no,'CVD Data'!C26,0)</f>
        <v>0.842</v>
      </c>
    </row>
    <row r="50" spans="1:16" ht="12.75">
      <c r="A50" s="13" t="s">
        <v>9</v>
      </c>
      <c r="B50" s="14"/>
      <c r="C50" s="96">
        <f t="shared" si="8"/>
        <v>0</v>
      </c>
      <c r="D50" s="96">
        <f t="shared" si="8"/>
        <v>0.06835431999999997</v>
      </c>
      <c r="E50" s="96">
        <f t="shared" si="8"/>
        <v>0.10797084000000001</v>
      </c>
      <c r="F50" s="96">
        <f t="shared" si="8"/>
        <v>0.12607485000000007</v>
      </c>
      <c r="G50" s="96">
        <f t="shared" si="8"/>
        <v>0.10542218000000003</v>
      </c>
      <c r="H50" s="96">
        <f t="shared" si="8"/>
        <v>0.12402091999999987</v>
      </c>
      <c r="I50" s="96">
        <f t="shared" si="8"/>
        <v>0.25225592000000013</v>
      </c>
      <c r="J50" s="96">
        <f t="shared" si="8"/>
        <v>0</v>
      </c>
      <c r="K50" s="96">
        <f t="shared" si="8"/>
        <v>0</v>
      </c>
      <c r="L50" s="96">
        <f t="shared" si="8"/>
        <v>0</v>
      </c>
      <c r="N50">
        <v>6</v>
      </c>
      <c r="P50" s="100">
        <f>IF(Oil_frac&lt;=Carbon_no,'CVD Data'!C27,0)</f>
        <v>0.968</v>
      </c>
    </row>
    <row r="51" spans="1:16" ht="13.5" thickBot="1">
      <c r="A51" s="13" t="s">
        <v>10</v>
      </c>
      <c r="B51" s="14"/>
      <c r="C51" s="96">
        <f t="shared" si="8"/>
        <v>0</v>
      </c>
      <c r="D51" s="96">
        <f t="shared" si="8"/>
        <v>0.4945120000000003</v>
      </c>
      <c r="E51" s="96">
        <f t="shared" si="8"/>
        <v>0.5461559999999999</v>
      </c>
      <c r="F51" s="96">
        <f t="shared" si="8"/>
        <v>0.4676100000000005</v>
      </c>
      <c r="G51" s="96">
        <f t="shared" si="8"/>
        <v>0.3258799999999997</v>
      </c>
      <c r="H51" s="96">
        <f t="shared" si="8"/>
        <v>0.35383999999999993</v>
      </c>
      <c r="I51" s="96">
        <f t="shared" si="8"/>
        <v>2.7453720000000015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N51">
        <v>7</v>
      </c>
      <c r="P51" s="104">
        <f>IF(Oil_frac&lt;=Carbon_no,'CVD Data'!C33,0)</f>
        <v>9.529</v>
      </c>
    </row>
    <row r="52" spans="1:12" ht="13.5" thickBo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20" ht="13.5" thickBot="1">
      <c r="A53" s="77" t="s">
        <v>141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R53" s="102" t="s">
        <v>117</v>
      </c>
      <c r="S53" s="103" t="s">
        <v>113</v>
      </c>
      <c r="T53" t="s">
        <v>118</v>
      </c>
    </row>
    <row r="54" spans="1:19" ht="12.75">
      <c r="A54" s="13" t="s">
        <v>5</v>
      </c>
      <c r="B54" s="14"/>
      <c r="C54" s="96">
        <f>C46*MW/Density/100</f>
        <v>0</v>
      </c>
      <c r="D54" s="96">
        <f aca="true" t="shared" si="9" ref="D54:L54">D46*MW/Density/100</f>
        <v>0</v>
      </c>
      <c r="E54" s="96">
        <f t="shared" si="9"/>
        <v>0</v>
      </c>
      <c r="F54" s="96">
        <f t="shared" si="9"/>
        <v>0</v>
      </c>
      <c r="G54" s="96">
        <f t="shared" si="9"/>
        <v>0</v>
      </c>
      <c r="H54" s="96">
        <f t="shared" si="9"/>
        <v>0</v>
      </c>
      <c r="I54" s="96">
        <f t="shared" si="9"/>
        <v>0</v>
      </c>
      <c r="J54" s="96">
        <f t="shared" si="9"/>
        <v>0</v>
      </c>
      <c r="K54" s="96">
        <f t="shared" si="9"/>
        <v>0</v>
      </c>
      <c r="L54" s="96">
        <f t="shared" si="9"/>
        <v>0</v>
      </c>
      <c r="M54" s="96"/>
      <c r="N54" s="96"/>
      <c r="O54" s="96"/>
      <c r="P54" s="106">
        <f>P46*MW/Density/100</f>
        <v>0</v>
      </c>
      <c r="R54" s="13">
        <f>'CVD Data'!Q23</f>
        <v>58.12</v>
      </c>
      <c r="S54" s="15">
        <f>'CVD Data'!R23</f>
        <v>35.01</v>
      </c>
    </row>
    <row r="55" spans="1:19" ht="12.75">
      <c r="A55" s="13" t="s">
        <v>6</v>
      </c>
      <c r="B55" s="14"/>
      <c r="C55" s="96">
        <f>C47*MW/Density/100</f>
        <v>0</v>
      </c>
      <c r="D55" s="96">
        <f aca="true" t="shared" si="10" ref="D55:L55">D47*MW/Density/100</f>
        <v>0</v>
      </c>
      <c r="E55" s="96">
        <f t="shared" si="10"/>
        <v>0</v>
      </c>
      <c r="F55" s="96">
        <f t="shared" si="10"/>
        <v>0</v>
      </c>
      <c r="G55" s="96">
        <f t="shared" si="10"/>
        <v>0</v>
      </c>
      <c r="H55" s="96">
        <f t="shared" si="10"/>
        <v>0</v>
      </c>
      <c r="I55" s="96">
        <f t="shared" si="10"/>
        <v>0</v>
      </c>
      <c r="J55" s="96">
        <f t="shared" si="10"/>
        <v>0</v>
      </c>
      <c r="K55" s="96">
        <f t="shared" si="10"/>
        <v>0</v>
      </c>
      <c r="L55" s="96">
        <f t="shared" si="10"/>
        <v>0</v>
      </c>
      <c r="M55" s="96"/>
      <c r="N55" s="96"/>
      <c r="O55" s="96"/>
      <c r="P55" s="107">
        <f>P47*MW/Density/100</f>
        <v>0</v>
      </c>
      <c r="R55" s="13">
        <f>'CVD Data'!Q24</f>
        <v>58.12</v>
      </c>
      <c r="S55" s="15">
        <f>'CVD Data'!R24</f>
        <v>36.45</v>
      </c>
    </row>
    <row r="56" spans="1:19" ht="12.75">
      <c r="A56" s="13" t="s">
        <v>7</v>
      </c>
      <c r="B56" s="14"/>
      <c r="C56" s="96">
        <f>C48*MW/Density/100</f>
        <v>0</v>
      </c>
      <c r="D56" s="96">
        <f aca="true" t="shared" si="11" ref="D56:L56">D48*MW/Density/100</f>
        <v>0.0011765262458471757</v>
      </c>
      <c r="E56" s="96">
        <f t="shared" si="11"/>
        <v>0.001977913794019933</v>
      </c>
      <c r="F56" s="96">
        <f t="shared" si="11"/>
        <v>0.0024009078737541544</v>
      </c>
      <c r="G56" s="96">
        <f t="shared" si="11"/>
        <v>0.00207301903654485</v>
      </c>
      <c r="H56" s="96">
        <f t="shared" si="11"/>
        <v>0.002658649136212622</v>
      </c>
      <c r="I56" s="96">
        <f t="shared" si="11"/>
        <v>0.004449481465116282</v>
      </c>
      <c r="J56" s="96">
        <f t="shared" si="11"/>
        <v>0</v>
      </c>
      <c r="K56" s="96">
        <f t="shared" si="11"/>
        <v>0</v>
      </c>
      <c r="L56" s="96">
        <f t="shared" si="11"/>
        <v>0</v>
      </c>
      <c r="M56" s="96"/>
      <c r="N56" s="96"/>
      <c r="O56" s="96"/>
      <c r="P56" s="107">
        <f>P48*MW/Density/100</f>
        <v>0.015801827242524918</v>
      </c>
      <c r="R56" s="13">
        <f>'CVD Data'!Q25</f>
        <v>72.15</v>
      </c>
      <c r="S56" s="15">
        <f>'CVD Data'!R25</f>
        <v>39.13</v>
      </c>
    </row>
    <row r="57" spans="1:19" ht="12.75">
      <c r="A57" s="13" t="s">
        <v>8</v>
      </c>
      <c r="B57" s="14"/>
      <c r="C57" s="96">
        <f>C49*MW/Density/100</f>
        <v>0</v>
      </c>
      <c r="D57" s="96">
        <f aca="true" t="shared" si="12" ref="D57:L57">D49*MW/Density/100</f>
        <v>0.0011524010961832054</v>
      </c>
      <c r="E57" s="96">
        <f t="shared" si="12"/>
        <v>0.0019462192625954206</v>
      </c>
      <c r="F57" s="96">
        <f t="shared" si="12"/>
        <v>0.0023641076564885504</v>
      </c>
      <c r="G57" s="96">
        <f t="shared" si="12"/>
        <v>0.0020371293641221373</v>
      </c>
      <c r="H57" s="96">
        <f t="shared" si="12"/>
        <v>0.0024750027572519066</v>
      </c>
      <c r="I57" s="96">
        <f t="shared" si="12"/>
        <v>0.004203792028244278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96"/>
      <c r="N57" s="96"/>
      <c r="O57" s="96"/>
      <c r="P57" s="107">
        <f>P49*MW/Density/100</f>
        <v>0.015458091603053437</v>
      </c>
      <c r="R57" s="13">
        <f>'CVD Data'!Q26</f>
        <v>72.15</v>
      </c>
      <c r="S57" s="15">
        <f>'CVD Data'!R26</f>
        <v>39.3</v>
      </c>
    </row>
    <row r="58" spans="1:19" ht="13.5" thickBot="1">
      <c r="A58" s="13" t="s">
        <v>9</v>
      </c>
      <c r="B58" s="14"/>
      <c r="C58" s="96">
        <f>C50*MW/Density/100</f>
        <v>0</v>
      </c>
      <c r="D58" s="96">
        <f aca="true" t="shared" si="13" ref="D58:L58">D50*MW/Density/100</f>
        <v>0.001429981003738771</v>
      </c>
      <c r="E58" s="96">
        <f t="shared" si="13"/>
        <v>0.0022587636034959945</v>
      </c>
      <c r="F58" s="96">
        <f t="shared" si="13"/>
        <v>0.0026375017782228716</v>
      </c>
      <c r="G58" s="96">
        <f t="shared" si="13"/>
        <v>0.0022054453145423656</v>
      </c>
      <c r="H58" s="96">
        <f t="shared" si="13"/>
        <v>0.0025945333033260474</v>
      </c>
      <c r="I58" s="96">
        <f t="shared" si="13"/>
        <v>0.005277225692255405</v>
      </c>
      <c r="J58" s="96">
        <f t="shared" si="13"/>
        <v>0</v>
      </c>
      <c r="K58" s="96">
        <f t="shared" si="13"/>
        <v>0</v>
      </c>
      <c r="L58" s="96">
        <f t="shared" si="13"/>
        <v>0</v>
      </c>
      <c r="M58" s="96"/>
      <c r="N58" s="96"/>
      <c r="O58" s="96"/>
      <c r="P58" s="107">
        <f>P50*MW/Density/100</f>
        <v>0.02025068220441855</v>
      </c>
      <c r="R58" s="16">
        <f>'CVD Data'!Q27</f>
        <v>86.17</v>
      </c>
      <c r="S58" s="28">
        <f>'CVD Data'!R27</f>
        <v>41.19</v>
      </c>
    </row>
    <row r="59" spans="1:16" ht="12.75">
      <c r="A59" s="13" t="s">
        <v>10</v>
      </c>
      <c r="B59" s="14"/>
      <c r="C59" s="105">
        <f>IF(C33&gt;0,C33*'CVD Data'!C$35/('CVD Data'!C$36*62.4)/100,0)</f>
        <v>0</v>
      </c>
      <c r="D59" s="105">
        <f>IF(D33&gt;0,D33*'CVD Data'!D$35/('CVD Data'!D$36*62.4)/100,0)</f>
        <v>0.01480565434054278</v>
      </c>
      <c r="E59" s="105">
        <f>IF(E33&gt;0,E33*'CVD Data'!E$35/('CVD Data'!E$36*62.4)/100,0)</f>
        <v>0.015128846429023677</v>
      </c>
      <c r="F59" s="105">
        <f>IF(F33&gt;0,F33*'CVD Data'!F$35/('CVD Data'!F$36*62.4)/100,0)</f>
        <v>0.012160849432910433</v>
      </c>
      <c r="G59" s="105">
        <f>IF(G33&gt;0,G33*'CVD Data'!G$35/('CVD Data'!G$36*62.4)/100,0)</f>
        <v>0.008147768600170802</v>
      </c>
      <c r="H59" s="105">
        <f>IF(H33&gt;0,H33*'CVD Data'!H$35/('CVD Data'!H$36*62.4)/100,0)</f>
        <v>0.008573161349625824</v>
      </c>
      <c r="I59" s="105">
        <f>IF(I33&gt;0,I33*'CVD Data'!I$35/('CVD Data'!I$36*62.4)/100,0)</f>
        <v>0.07372162272660465</v>
      </c>
      <c r="J59" s="105">
        <f>IF(J33&gt;0,J33*'CVD Data'!J$35/('CVD Data'!J$36*62.4)/100,0)</f>
        <v>0</v>
      </c>
      <c r="K59" s="105">
        <f>IF(K33&gt;0,K33*'CVD Data'!K$35/('CVD Data'!K$36*62.4)/100,0)</f>
        <v>0</v>
      </c>
      <c r="L59" s="105">
        <f>IF(L33&gt;0,L33*'CVD Data'!L$35/('CVD Data'!L$36*62.4)/100,0)</f>
        <v>0</v>
      </c>
      <c r="M59" s="96"/>
      <c r="N59" s="96"/>
      <c r="O59" s="96"/>
      <c r="P59" s="108">
        <f>P51*'CVD Data'!C$35/('CVD Data'!C$36*62.4)/100</f>
        <v>0.3171461931887786</v>
      </c>
    </row>
    <row r="60" spans="1:20" ht="13.5" thickBot="1">
      <c r="A60" s="78" t="s">
        <v>48</v>
      </c>
      <c r="B60" s="19"/>
      <c r="C60" s="79">
        <f aca="true" t="shared" si="14" ref="C60:L60">SUM(C54:C59)</f>
        <v>0</v>
      </c>
      <c r="D60" s="79">
        <f t="shared" si="14"/>
        <v>0.01856456268631193</v>
      </c>
      <c r="E60" s="79">
        <f t="shared" si="14"/>
        <v>0.021311743089135027</v>
      </c>
      <c r="F60" s="79">
        <f t="shared" si="14"/>
        <v>0.019563366741376008</v>
      </c>
      <c r="G60" s="79">
        <f t="shared" si="14"/>
        <v>0.014463362315380155</v>
      </c>
      <c r="H60" s="79">
        <f t="shared" si="14"/>
        <v>0.0163013465464164</v>
      </c>
      <c r="I60" s="79">
        <f t="shared" si="14"/>
        <v>0.08765212191222062</v>
      </c>
      <c r="J60" s="79">
        <f t="shared" si="14"/>
        <v>0</v>
      </c>
      <c r="K60" s="79">
        <f t="shared" si="14"/>
        <v>0</v>
      </c>
      <c r="L60" s="79">
        <f t="shared" si="14"/>
        <v>0</v>
      </c>
      <c r="M60" s="79"/>
      <c r="N60" s="79"/>
      <c r="O60" s="79"/>
      <c r="P60" s="101">
        <f>SUM(P54:P59)</f>
        <v>0.3686567942387755</v>
      </c>
      <c r="Q60" s="73" t="s">
        <v>138</v>
      </c>
      <c r="R60" s="9"/>
      <c r="S60" s="9"/>
      <c r="T60" s="9"/>
    </row>
    <row r="61" spans="1:12" s="9" customFormat="1" ht="12.75">
      <c r="A61" s="78" t="s">
        <v>134</v>
      </c>
      <c r="B61" s="19"/>
      <c r="C61" s="79">
        <f>SUM($C$41:C60)</f>
        <v>0</v>
      </c>
      <c r="D61" s="79">
        <f>SUM($C$60:D60)</f>
        <v>0.01856456268631193</v>
      </c>
      <c r="E61" s="79">
        <f>SUM($C$60:E60)</f>
        <v>0.03987630577544696</v>
      </c>
      <c r="F61" s="79">
        <f>SUM($C$60:F60)</f>
        <v>0.059439672516822965</v>
      </c>
      <c r="G61" s="79">
        <f>SUM($C$60:G60)</f>
        <v>0.07390303483220312</v>
      </c>
      <c r="H61" s="79">
        <f>SUM($C$60:H60)</f>
        <v>0.09020438137861952</v>
      </c>
      <c r="I61" s="79">
        <f>SUM($C$60:I60)</f>
        <v>0.17785650329084013</v>
      </c>
      <c r="J61" s="79">
        <f>SUM($C$60:J60)</f>
        <v>0.17785650329084013</v>
      </c>
      <c r="K61" s="79">
        <f>SUM($C$60:K60)</f>
        <v>0.17785650329084013</v>
      </c>
      <c r="L61" s="79">
        <f>SUM($C$60:L60)</f>
        <v>0.17785650329084013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2:T158"/>
  <sheetViews>
    <sheetView zoomScale="75" zoomScaleNormal="75" workbookViewId="0" topLeftCell="A28">
      <selection activeCell="C46" sqref="C46:L46"/>
    </sheetView>
  </sheetViews>
  <sheetFormatPr defaultColWidth="9.140625" defaultRowHeight="12.75"/>
  <cols>
    <col min="1" max="1" width="32.8515625" style="0" customWidth="1"/>
    <col min="2" max="2" width="17.8515625" style="0" customWidth="1"/>
    <col min="3" max="3" width="11.421875" style="0" customWidth="1"/>
    <col min="4" max="4" width="9.57421875" style="0" bestFit="1" customWidth="1"/>
    <col min="5" max="6" width="9.57421875" style="0" customWidth="1"/>
    <col min="7" max="8" width="9.28125" style="0" customWidth="1"/>
    <col min="9" max="9" width="9.7109375" style="0" customWidth="1"/>
    <col min="10" max="12" width="9.28125" style="0" hidden="1" customWidth="1"/>
    <col min="13" max="13" width="9.28125" style="0" customWidth="1"/>
    <col min="14" max="14" width="11.7109375" style="0" customWidth="1"/>
    <col min="17" max="17" width="15.421875" style="0" customWidth="1"/>
  </cols>
  <sheetData>
    <row r="1" ht="13.5" thickBot="1"/>
    <row r="2" spans="1:15" ht="13.5" thickBot="1">
      <c r="A2" t="s">
        <v>87</v>
      </c>
      <c r="B2" s="5" t="s">
        <v>14</v>
      </c>
      <c r="C2">
        <f>'CCE &amp; other data'!E5+459.67</f>
        <v>722.6700000000001</v>
      </c>
      <c r="D2" t="s">
        <v>16</v>
      </c>
      <c r="N2" s="39" t="s">
        <v>20</v>
      </c>
      <c r="O2" s="40">
        <v>10.732</v>
      </c>
    </row>
    <row r="5" spans="1:12" ht="12.75">
      <c r="A5" t="s">
        <v>26</v>
      </c>
      <c r="B5" s="5" t="s">
        <v>12</v>
      </c>
      <c r="C5">
        <f>'CVD Data'!C10+Pstd</f>
        <v>5549.7</v>
      </c>
      <c r="D5">
        <f>'CVD Data'!D10+Pstd</f>
        <v>4514.7</v>
      </c>
      <c r="E5">
        <f>'CVD Data'!E10+Pstd</f>
        <v>3514.7</v>
      </c>
      <c r="F5">
        <f>'CVD Data'!F10+Pstd</f>
        <v>2514.7</v>
      </c>
      <c r="G5">
        <f>'CVD Data'!G10+Pstd</f>
        <v>1714.7</v>
      </c>
      <c r="H5">
        <f>'CVD Data'!H10+Pstd</f>
        <v>914.7</v>
      </c>
      <c r="I5">
        <f>'CVD Data'!I10+Pstd</f>
        <v>16.7</v>
      </c>
      <c r="J5">
        <f>'CVD Data'!J10+14.7</f>
        <v>14.7</v>
      </c>
      <c r="K5">
        <f>'CVD Data'!K10+14.7</f>
        <v>14.7</v>
      </c>
      <c r="L5">
        <f>'CVD Data'!L10+14.7</f>
        <v>14.7</v>
      </c>
    </row>
    <row r="7" spans="1:13" ht="12.75">
      <c r="A7" t="s">
        <v>27</v>
      </c>
      <c r="B7" s="5" t="s">
        <v>30</v>
      </c>
      <c r="C7" s="4">
        <f>'CVD Data'!C12/100</f>
        <v>0</v>
      </c>
      <c r="D7" s="4">
        <f>'CVD Data'!D12/100</f>
        <v>0.07976</v>
      </c>
      <c r="E7" s="4">
        <f>'CVD Data'!E12/100</f>
        <v>0.2198</v>
      </c>
      <c r="F7" s="4">
        <f>'CVD Data'!F12/100</f>
        <v>0.39965000000000006</v>
      </c>
      <c r="G7" s="4">
        <f>'CVD Data'!G12/100</f>
        <v>0.56259</v>
      </c>
      <c r="H7" s="4">
        <f>'CVD Data'!H12/100</f>
        <v>0.7395099999999999</v>
      </c>
      <c r="I7" s="4">
        <f>'CVD Data'!I12/100</f>
        <v>0.93845</v>
      </c>
      <c r="J7" s="4">
        <f>'CVD Data'!J12/100</f>
        <v>0</v>
      </c>
      <c r="K7" s="4">
        <f>'CVD Data'!K12/100</f>
        <v>0</v>
      </c>
      <c r="L7" s="4">
        <f>'CVD Data'!L12/100</f>
        <v>0</v>
      </c>
      <c r="M7" s="4"/>
    </row>
    <row r="8" spans="1:13" ht="12.75">
      <c r="A8" t="s">
        <v>28</v>
      </c>
      <c r="B8" s="5" t="s">
        <v>13</v>
      </c>
      <c r="C8" s="4">
        <f>'CVD Data'!C13/100</f>
        <v>0</v>
      </c>
      <c r="D8" s="4">
        <f>'CVD Data'!D13/100</f>
        <v>0.17</v>
      </c>
      <c r="E8" s="4">
        <f>'CVD Data'!E13/100</f>
        <v>0.22841999999999998</v>
      </c>
      <c r="F8" s="4">
        <f>'CVD Data'!F13/100</f>
        <v>0.23832</v>
      </c>
      <c r="G8" s="4">
        <f>'CVD Data'!G13/100</f>
        <v>0.22309</v>
      </c>
      <c r="H8" s="4">
        <f>'CVD Data'!H13/100</f>
        <v>0.19063</v>
      </c>
      <c r="I8" s="4">
        <f>'CVD Data'!I13/100</f>
        <v>0.14967</v>
      </c>
      <c r="J8" s="4">
        <f>'CVD Data'!J13/100</f>
        <v>0</v>
      </c>
      <c r="K8" s="4">
        <f>'CVD Data'!K13/100</f>
        <v>0</v>
      </c>
      <c r="L8" s="4">
        <f>'CVD Data'!L13/100</f>
        <v>0</v>
      </c>
      <c r="M8" s="4"/>
    </row>
    <row r="9" spans="1:13" ht="12.75">
      <c r="A9" t="s">
        <v>88</v>
      </c>
      <c r="B9" s="5" t="s">
        <v>11</v>
      </c>
      <c r="C9" s="4">
        <f>'CVD Data'!C14</f>
        <v>1.0823</v>
      </c>
      <c r="D9" s="4">
        <f>'CVD Data'!D14</f>
        <v>0.9202</v>
      </c>
      <c r="E9" s="4">
        <f>'CVD Data'!E14</f>
        <v>0.8515</v>
      </c>
      <c r="F9" s="4">
        <f>'CVD Data'!F14</f>
        <v>0.8369</v>
      </c>
      <c r="G9" s="4">
        <f>'CVD Data'!G14</f>
        <v>0.8568</v>
      </c>
      <c r="H9" s="4">
        <f>'CVD Data'!H14</f>
        <v>0.9069</v>
      </c>
      <c r="I9" s="4">
        <f>'CVD Data'!I14</f>
        <v>1</v>
      </c>
      <c r="J9" s="4">
        <f>'CVD Data'!J14</f>
        <v>0</v>
      </c>
      <c r="K9" s="4">
        <f>'CVD Data'!K14</f>
        <v>0</v>
      </c>
      <c r="L9" s="4">
        <f>'CVD Data'!L14</f>
        <v>0</v>
      </c>
      <c r="M9" s="4"/>
    </row>
    <row r="10" spans="3:13" ht="12.7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2.75">
      <c r="B11" s="109" t="s">
        <v>147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t="s">
        <v>46</v>
      </c>
      <c r="B12" s="74" t="str">
        <f>'CVD Data'!B17</f>
        <v>N2</v>
      </c>
      <c r="C12" s="4">
        <f>'CVD Data'!C17</f>
        <v>0.393</v>
      </c>
      <c r="D12" s="4">
        <f>'CVD Data'!D17</f>
        <v>0.405</v>
      </c>
      <c r="E12" s="4">
        <f>'CVD Data'!E17</f>
        <v>0.433</v>
      </c>
      <c r="F12" s="4">
        <f>'CVD Data'!F17</f>
        <v>0.442</v>
      </c>
      <c r="G12" s="4">
        <f>'CVD Data'!G17</f>
        <v>0.437</v>
      </c>
      <c r="H12" s="4">
        <f>'CVD Data'!H17</f>
        <v>0.428</v>
      </c>
      <c r="I12" s="4">
        <f>'CVD Data'!I17</f>
        <v>0.335</v>
      </c>
      <c r="J12" s="4">
        <f>'CVD Data'!J17</f>
        <v>0</v>
      </c>
      <c r="K12" s="4">
        <f>'CVD Data'!K17</f>
        <v>0</v>
      </c>
      <c r="L12" s="4">
        <f>'CVD Data'!L17</f>
        <v>0</v>
      </c>
      <c r="M12" s="4"/>
    </row>
    <row r="13" spans="2:13" ht="12.75">
      <c r="B13" s="74" t="str">
        <f>'CVD Data'!B18</f>
        <v>CO2</v>
      </c>
      <c r="C13" s="4">
        <f>'CVD Data'!C18</f>
        <v>1.776</v>
      </c>
      <c r="D13" s="4">
        <f>'CVD Data'!D18</f>
        <v>1.829</v>
      </c>
      <c r="E13" s="4">
        <f>'CVD Data'!E18</f>
        <v>1.863</v>
      </c>
      <c r="F13" s="4">
        <f>'CVD Data'!F18</f>
        <v>1.899</v>
      </c>
      <c r="G13" s="4">
        <f>'CVD Data'!G18</f>
        <v>1.936</v>
      </c>
      <c r="H13" s="4">
        <f>'CVD Data'!H18</f>
        <v>1.945</v>
      </c>
      <c r="I13" s="4">
        <f>'CVD Data'!I18</f>
        <v>1.612</v>
      </c>
      <c r="J13" s="4">
        <f>'CVD Data'!J18</f>
        <v>0</v>
      </c>
      <c r="K13" s="4">
        <f>'CVD Data'!K18</f>
        <v>0</v>
      </c>
      <c r="L13" s="4">
        <f>'CVD Data'!L18</f>
        <v>0</v>
      </c>
      <c r="M13" s="4"/>
    </row>
    <row r="14" spans="2:13" ht="12.75">
      <c r="B14" s="74" t="str">
        <f>'CVD Data'!B19</f>
        <v>H2S</v>
      </c>
      <c r="C14" s="4">
        <f>'CVD Data'!C19</f>
        <v>0</v>
      </c>
      <c r="D14" s="4">
        <f>'CVD Data'!D19</f>
        <v>0</v>
      </c>
      <c r="E14" s="4">
        <f>'CVD Data'!E19</f>
        <v>0</v>
      </c>
      <c r="F14" s="4">
        <f>'CVD Data'!F19</f>
        <v>0</v>
      </c>
      <c r="G14" s="4">
        <f>'CVD Data'!G19</f>
        <v>0</v>
      </c>
      <c r="H14" s="4">
        <f>'CVD Data'!H19</f>
        <v>0</v>
      </c>
      <c r="I14" s="4">
        <f>'CVD Data'!I19</f>
        <v>0</v>
      </c>
      <c r="J14" s="4">
        <f>'CVD Data'!J19</f>
        <v>0</v>
      </c>
      <c r="K14" s="4">
        <f>'CVD Data'!K19</f>
        <v>0</v>
      </c>
      <c r="L14" s="4">
        <f>'CVD Data'!L19</f>
        <v>0</v>
      </c>
      <c r="M14" s="4"/>
    </row>
    <row r="15" spans="2:13" ht="12.75">
      <c r="B15" s="74" t="str">
        <f>'CVD Data'!B20</f>
        <v>C1</v>
      </c>
      <c r="C15" s="4">
        <f>'CVD Data'!C20</f>
        <v>68.25</v>
      </c>
      <c r="D15" s="4">
        <f>'CVD Data'!D20</f>
        <v>71.913</v>
      </c>
      <c r="E15" s="4">
        <f>'CVD Data'!E20</f>
        <v>74.339</v>
      </c>
      <c r="F15" s="4">
        <f>'CVD Data'!F20</f>
        <v>75.538</v>
      </c>
      <c r="G15" s="4">
        <f>'CVD Data'!G20</f>
        <v>76.049</v>
      </c>
      <c r="H15" s="4">
        <f>'CVD Data'!H20</f>
        <v>74.723</v>
      </c>
      <c r="I15" s="4">
        <f>'CVD Data'!I20</f>
        <v>60.118</v>
      </c>
      <c r="J15" s="4">
        <f>'CVD Data'!J20</f>
        <v>0</v>
      </c>
      <c r="K15" s="4">
        <f>'CVD Data'!K20</f>
        <v>0</v>
      </c>
      <c r="L15" s="4">
        <f>'CVD Data'!L20</f>
        <v>0</v>
      </c>
      <c r="M15" s="4"/>
    </row>
    <row r="16" spans="2:13" ht="12.75">
      <c r="B16" s="74" t="str">
        <f>'CVD Data'!B21</f>
        <v>C2</v>
      </c>
      <c r="C16" s="4">
        <f>'CVD Data'!C21</f>
        <v>7.024</v>
      </c>
      <c r="D16" s="4">
        <f>'CVD Data'!D21</f>
        <v>7.178</v>
      </c>
      <c r="E16" s="4">
        <f>'CVD Data'!E21</f>
        <v>7.244</v>
      </c>
      <c r="F16" s="4">
        <f>'CVD Data'!F21</f>
        <v>7.464</v>
      </c>
      <c r="G16" s="4">
        <f>'CVD Data'!G21</f>
        <v>7.621</v>
      </c>
      <c r="H16" s="4">
        <f>'CVD Data'!H21</f>
        <v>7.691</v>
      </c>
      <c r="I16" s="4">
        <f>'CVD Data'!I21</f>
        <v>7.178</v>
      </c>
      <c r="J16" s="4">
        <f>'CVD Data'!J21</f>
        <v>0</v>
      </c>
      <c r="K16" s="4">
        <f>'CVD Data'!K21</f>
        <v>0</v>
      </c>
      <c r="L16" s="4">
        <f>'CVD Data'!L21</f>
        <v>0</v>
      </c>
      <c r="M16" s="4"/>
    </row>
    <row r="17" spans="2:13" ht="12.75">
      <c r="B17" s="74" t="str">
        <f>'CVD Data'!B22</f>
        <v>C3</v>
      </c>
      <c r="C17" s="4">
        <f>'CVD Data'!C22</f>
        <v>6.625</v>
      </c>
      <c r="D17" s="4">
        <f>'CVD Data'!D22</f>
        <v>6.501</v>
      </c>
      <c r="E17" s="4">
        <f>'CVD Data'!E22</f>
        <v>6.501</v>
      </c>
      <c r="F17" s="4">
        <f>'CVD Data'!F22</f>
        <v>6.501</v>
      </c>
      <c r="G17" s="4">
        <f>'CVD Data'!G22</f>
        <v>6.501</v>
      </c>
      <c r="H17" s="4">
        <f>'CVD Data'!H22</f>
        <v>7.112</v>
      </c>
      <c r="I17" s="4">
        <f>'CVD Data'!I22</f>
        <v>8.091</v>
      </c>
      <c r="J17" s="4">
        <f>'CVD Data'!J22</f>
        <v>0</v>
      </c>
      <c r="K17" s="4">
        <f>'CVD Data'!K22</f>
        <v>0</v>
      </c>
      <c r="L17" s="4">
        <f>'CVD Data'!L22</f>
        <v>0</v>
      </c>
      <c r="M17" s="4"/>
    </row>
    <row r="18" spans="2:13" ht="12.75">
      <c r="B18" s="74" t="str">
        <f>'CVD Data'!B23</f>
        <v>iC4</v>
      </c>
      <c r="C18" s="4">
        <f>'CVD Data'!C23</f>
        <v>1.418</v>
      </c>
      <c r="D18" s="4">
        <f>'CVD Data'!D23</f>
        <v>1.352</v>
      </c>
      <c r="E18" s="4">
        <f>'CVD Data'!E23</f>
        <v>1.312</v>
      </c>
      <c r="F18" s="4">
        <f>'CVD Data'!F23</f>
        <v>1.3</v>
      </c>
      <c r="G18" s="4">
        <f>'CVD Data'!G23</f>
        <v>1.324</v>
      </c>
      <c r="H18" s="4">
        <f>'CVD Data'!H23</f>
        <v>1.462</v>
      </c>
      <c r="I18" s="4">
        <f>'CVD Data'!I23</f>
        <v>1.991</v>
      </c>
      <c r="J18" s="4">
        <f>'CVD Data'!J23</f>
        <v>0</v>
      </c>
      <c r="K18" s="4">
        <f>'CVD Data'!K23</f>
        <v>0</v>
      </c>
      <c r="L18" s="4">
        <f>'CVD Data'!L23</f>
        <v>0</v>
      </c>
      <c r="M18" s="4"/>
    </row>
    <row r="19" spans="2:13" ht="12.75">
      <c r="B19" s="74" t="str">
        <f>'CVD Data'!B24</f>
        <v>nC4</v>
      </c>
      <c r="C19" s="4">
        <f>'CVD Data'!C24</f>
        <v>2.319</v>
      </c>
      <c r="D19" s="4">
        <f>'CVD Data'!D24</f>
        <v>2.178</v>
      </c>
      <c r="E19" s="4">
        <f>'CVD Data'!E24</f>
        <v>2.113</v>
      </c>
      <c r="F19" s="4">
        <f>'CVD Data'!F24</f>
        <v>2.113</v>
      </c>
      <c r="G19" s="4">
        <f>'CVD Data'!G24</f>
        <v>2.113</v>
      </c>
      <c r="H19" s="4">
        <f>'CVD Data'!H24</f>
        <v>2.36</v>
      </c>
      <c r="I19" s="4">
        <f>'CVD Data'!I24</f>
        <v>3.243</v>
      </c>
      <c r="J19" s="4">
        <f>'CVD Data'!J24</f>
        <v>0</v>
      </c>
      <c r="K19" s="4">
        <f>'CVD Data'!K24</f>
        <v>0</v>
      </c>
      <c r="L19" s="4">
        <f>'CVD Data'!L24</f>
        <v>0</v>
      </c>
      <c r="M19" s="4"/>
    </row>
    <row r="20" spans="2:13" ht="12.75">
      <c r="B20" s="74" t="str">
        <f>'CVD Data'!B25</f>
        <v>iC5</v>
      </c>
      <c r="C20" s="4">
        <f>'CVD Data'!C25</f>
        <v>0.857</v>
      </c>
      <c r="D20" s="4">
        <f>'CVD Data'!D25</f>
        <v>0.8</v>
      </c>
      <c r="E20" s="4">
        <f>'CVD Data'!E25</f>
        <v>0.766</v>
      </c>
      <c r="F20" s="4">
        <f>'CVD Data'!F25</f>
        <v>0.724</v>
      </c>
      <c r="G20" s="4">
        <f>'CVD Data'!G25</f>
        <v>0.69</v>
      </c>
      <c r="H20" s="4">
        <f>'CVD Data'!H25</f>
        <v>0.815</v>
      </c>
      <c r="I20" s="4">
        <f>'CVD Data'!I25</f>
        <v>1.213</v>
      </c>
      <c r="J20" s="4">
        <f>'CVD Data'!J25</f>
        <v>0</v>
      </c>
      <c r="K20" s="4">
        <f>'CVD Data'!K25</f>
        <v>0</v>
      </c>
      <c r="L20" s="4">
        <f>'CVD Data'!L25</f>
        <v>0</v>
      </c>
      <c r="M20" s="4"/>
    </row>
    <row r="21" spans="2:13" ht="12.75">
      <c r="B21" s="74" t="str">
        <f>'CVD Data'!B26</f>
        <v>nC5</v>
      </c>
      <c r="C21" s="4">
        <f>'CVD Data'!C26</f>
        <v>0.842</v>
      </c>
      <c r="D21" s="4">
        <f>'CVD Data'!D26</f>
        <v>0.787</v>
      </c>
      <c r="E21" s="4">
        <f>'CVD Data'!E26</f>
        <v>0.757</v>
      </c>
      <c r="F21" s="4">
        <f>'CVD Data'!F26</f>
        <v>0.716</v>
      </c>
      <c r="G21" s="4">
        <f>'CVD Data'!G26</f>
        <v>0.681</v>
      </c>
      <c r="H21" s="4">
        <f>'CVD Data'!H26</f>
        <v>0.762</v>
      </c>
      <c r="I21" s="4">
        <f>'CVD Data'!I26</f>
        <v>1.151</v>
      </c>
      <c r="J21" s="4">
        <f>'CVD Data'!J26</f>
        <v>0</v>
      </c>
      <c r="K21" s="4">
        <f>'CVD Data'!K26</f>
        <v>0</v>
      </c>
      <c r="L21" s="4">
        <f>'CVD Data'!L26</f>
        <v>0</v>
      </c>
      <c r="M21" s="4"/>
    </row>
    <row r="22" spans="2:13" ht="12.75">
      <c r="B22" s="74" t="str">
        <f>'CVD Data'!B27</f>
        <v>C6</v>
      </c>
      <c r="C22" s="4">
        <f>'CVD Data'!C27</f>
        <v>0.968</v>
      </c>
      <c r="D22" s="4">
        <f>'CVD Data'!D27</f>
        <v>0.857</v>
      </c>
      <c r="E22" s="4">
        <f>'CVD Data'!E27</f>
        <v>0.771</v>
      </c>
      <c r="F22" s="4">
        <f>'CVD Data'!F27</f>
        <v>0.701</v>
      </c>
      <c r="G22" s="4">
        <f>'CVD Data'!G27</f>
        <v>0.647</v>
      </c>
      <c r="H22" s="4">
        <f>'CVD Data'!H27</f>
        <v>0.701</v>
      </c>
      <c r="I22" s="4">
        <f>'CVD Data'!I27</f>
        <v>1.268</v>
      </c>
      <c r="J22" s="4">
        <f>'CVD Data'!J27</f>
        <v>0</v>
      </c>
      <c r="K22" s="4">
        <f>'CVD Data'!K27</f>
        <v>0</v>
      </c>
      <c r="L22" s="4">
        <f>'CVD Data'!L27</f>
        <v>0</v>
      </c>
      <c r="M22" s="4"/>
    </row>
    <row r="23" spans="2:13" ht="12.75">
      <c r="B23" s="74" t="str">
        <f>'CVD Data'!B28</f>
        <v>C7</v>
      </c>
      <c r="C23" s="4">
        <f>'CVD Data'!C28</f>
        <v>0</v>
      </c>
      <c r="D23" s="4">
        <f>'CVD Data'!D28</f>
        <v>0</v>
      </c>
      <c r="E23" s="4">
        <f>'CVD Data'!E28</f>
        <v>0</v>
      </c>
      <c r="F23" s="4">
        <f>'CVD Data'!F28</f>
        <v>0</v>
      </c>
      <c r="G23" s="4">
        <f>'CVD Data'!G28</f>
        <v>0</v>
      </c>
      <c r="H23" s="4">
        <f>'CVD Data'!H28</f>
        <v>0</v>
      </c>
      <c r="I23" s="4">
        <f>'CVD Data'!I28</f>
        <v>0</v>
      </c>
      <c r="J23" s="4">
        <f>'CVD Data'!J28</f>
        <v>0</v>
      </c>
      <c r="K23" s="4">
        <f>'CVD Data'!K28</f>
        <v>0</v>
      </c>
      <c r="L23" s="4">
        <f>'CVD Data'!L28</f>
        <v>0</v>
      </c>
      <c r="M23" s="4"/>
    </row>
    <row r="24" spans="2:13" ht="12.75">
      <c r="B24" s="74" t="str">
        <f>'CVD Data'!B29</f>
        <v>C8</v>
      </c>
      <c r="C24" s="4">
        <f>'CVD Data'!C29</f>
        <v>0</v>
      </c>
      <c r="D24" s="4">
        <f>'CVD Data'!D29</f>
        <v>0</v>
      </c>
      <c r="E24" s="4">
        <f>'CVD Data'!E29</f>
        <v>0</v>
      </c>
      <c r="F24" s="4">
        <f>'CVD Data'!F29</f>
        <v>0</v>
      </c>
      <c r="G24" s="4">
        <f>'CVD Data'!G29</f>
        <v>0</v>
      </c>
      <c r="H24" s="4">
        <f>'CVD Data'!H29</f>
        <v>0</v>
      </c>
      <c r="I24" s="4">
        <f>'CVD Data'!I29</f>
        <v>0</v>
      </c>
      <c r="J24" s="4">
        <f>'CVD Data'!J29</f>
        <v>0</v>
      </c>
      <c r="K24" s="4">
        <f>'CVD Data'!K29</f>
        <v>0</v>
      </c>
      <c r="L24" s="4">
        <f>'CVD Data'!L29</f>
        <v>0</v>
      </c>
      <c r="M24" s="4"/>
    </row>
    <row r="25" spans="2:13" ht="12.75">
      <c r="B25" s="74" t="str">
        <f>'CVD Data'!B30</f>
        <v>C9</v>
      </c>
      <c r="C25" s="4">
        <f>'CVD Data'!C30</f>
        <v>0</v>
      </c>
      <c r="D25" s="4">
        <f>'CVD Data'!D30</f>
        <v>0</v>
      </c>
      <c r="E25" s="4">
        <f>'CVD Data'!E30</f>
        <v>0</v>
      </c>
      <c r="F25" s="4">
        <f>'CVD Data'!F30</f>
        <v>0</v>
      </c>
      <c r="G25" s="4">
        <f>'CVD Data'!G30</f>
        <v>0</v>
      </c>
      <c r="H25" s="4">
        <f>'CVD Data'!H30</f>
        <v>0</v>
      </c>
      <c r="I25" s="4">
        <f>'CVD Data'!I30</f>
        <v>0</v>
      </c>
      <c r="J25" s="4">
        <f>'CVD Data'!J30</f>
        <v>0</v>
      </c>
      <c r="K25" s="4">
        <f>'CVD Data'!K30</f>
        <v>0</v>
      </c>
      <c r="L25" s="4">
        <f>'CVD Data'!L30</f>
        <v>0</v>
      </c>
      <c r="M25" s="4"/>
    </row>
    <row r="26" spans="2:13" ht="12.75">
      <c r="B26" s="74" t="str">
        <f>'CVD Data'!B31</f>
        <v>C10</v>
      </c>
      <c r="C26" s="4">
        <f>'CVD Data'!C31</f>
        <v>0</v>
      </c>
      <c r="D26" s="4">
        <f>'CVD Data'!D31</f>
        <v>0</v>
      </c>
      <c r="E26" s="4">
        <f>'CVD Data'!E31</f>
        <v>0</v>
      </c>
      <c r="F26" s="4">
        <f>'CVD Data'!F31</f>
        <v>0</v>
      </c>
      <c r="G26" s="4">
        <f>'CVD Data'!G31</f>
        <v>0</v>
      </c>
      <c r="H26" s="4">
        <f>'CVD Data'!H31</f>
        <v>0</v>
      </c>
      <c r="I26" s="4">
        <f>'CVD Data'!I31</f>
        <v>0</v>
      </c>
      <c r="J26" s="4">
        <f>'CVD Data'!J31</f>
        <v>0</v>
      </c>
      <c r="K26" s="4">
        <f>'CVD Data'!K31</f>
        <v>0</v>
      </c>
      <c r="L26" s="4">
        <f>'CVD Data'!L31</f>
        <v>0</v>
      </c>
      <c r="M26" s="4"/>
    </row>
    <row r="27" spans="2:13" ht="12.75">
      <c r="B27" s="74" t="str">
        <f>'CVD Data'!B32</f>
        <v>C11</v>
      </c>
      <c r="C27" s="4">
        <f>'CVD Data'!C32</f>
        <v>0</v>
      </c>
      <c r="D27" s="4">
        <f>'CVD Data'!D32</f>
        <v>0</v>
      </c>
      <c r="E27" s="4">
        <f>'CVD Data'!E32</f>
        <v>0</v>
      </c>
      <c r="F27" s="4">
        <f>'CVD Data'!F32</f>
        <v>0</v>
      </c>
      <c r="G27" s="4">
        <f>'CVD Data'!G32</f>
        <v>0</v>
      </c>
      <c r="H27" s="4">
        <f>'CVD Data'!H32</f>
        <v>0</v>
      </c>
      <c r="I27" s="4">
        <f>'CVD Data'!I32</f>
        <v>0</v>
      </c>
      <c r="J27" s="4">
        <f>'CVD Data'!J32</f>
        <v>0</v>
      </c>
      <c r="K27" s="4">
        <f>'CVD Data'!K32</f>
        <v>0</v>
      </c>
      <c r="L27" s="4">
        <f>'CVD Data'!L32</f>
        <v>0</v>
      </c>
      <c r="M27" s="4"/>
    </row>
    <row r="28" spans="2:13" ht="12.75">
      <c r="B28" s="74" t="str">
        <f>'CVD Data'!B33</f>
        <v>C7+</v>
      </c>
      <c r="C28" s="4">
        <f>'CVD Data'!C33</f>
        <v>9.529</v>
      </c>
      <c r="D28" s="4">
        <f>'CVD Data'!D33</f>
        <v>6.2</v>
      </c>
      <c r="E28" s="4">
        <f>'CVD Data'!E33</f>
        <v>3.9</v>
      </c>
      <c r="F28" s="4">
        <f>'CVD Data'!F33</f>
        <v>2.6</v>
      </c>
      <c r="G28" s="4">
        <f>'CVD Data'!G33</f>
        <v>2</v>
      </c>
      <c r="H28" s="4">
        <f>'CVD Data'!H33</f>
        <v>2</v>
      </c>
      <c r="I28" s="4">
        <f>'CVD Data'!I33</f>
        <v>13.8</v>
      </c>
      <c r="J28" s="4">
        <f>'CVD Data'!J33</f>
        <v>0</v>
      </c>
      <c r="K28" s="4">
        <f>'CVD Data'!K33</f>
        <v>0</v>
      </c>
      <c r="L28" s="4">
        <f>'CVD Data'!L33</f>
        <v>0</v>
      </c>
      <c r="M28" s="4"/>
    </row>
    <row r="29" spans="3:13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2.75">
      <c r="B30" t="s">
        <v>194</v>
      </c>
      <c r="C30" s="4">
        <f>'CVD Data'!C35</f>
        <v>169.53</v>
      </c>
      <c r="D30" s="4">
        <f>'CVD Data'!D35</f>
        <v>149.703</v>
      </c>
      <c r="E30" s="4">
        <f>'CVD Data'!E35</f>
        <v>136.501</v>
      </c>
      <c r="F30" s="4">
        <f>'CVD Data'!F35</f>
        <v>126.627</v>
      </c>
      <c r="G30" s="4">
        <f>'CVD Data'!G35</f>
        <v>120.849</v>
      </c>
      <c r="H30" s="4">
        <f>'CVD Data'!H35</f>
        <v>116.4</v>
      </c>
      <c r="I30" s="4">
        <f>'CVD Data'!I35</f>
        <v>131.537</v>
      </c>
      <c r="J30" s="4">
        <f>'CVD Data'!J35</f>
        <v>0</v>
      </c>
      <c r="K30" s="4">
        <f>'CVD Data'!K35</f>
        <v>0</v>
      </c>
      <c r="L30" s="4">
        <f>'CVD Data'!L35</f>
        <v>0</v>
      </c>
      <c r="M30" s="4"/>
    </row>
    <row r="32" spans="2:13" ht="12.75">
      <c r="B32" s="5" t="s">
        <v>17</v>
      </c>
      <c r="C32" s="1">
        <f aca="true" t="shared" si="0" ref="C32:L32">(SUMPRODUCT(C12:C27,Mwref)+C28*C30)/100</f>
        <v>37.25850019000001</v>
      </c>
      <c r="D32" s="1">
        <f t="shared" si="0"/>
        <v>30.694675650000004</v>
      </c>
      <c r="E32" s="1">
        <f t="shared" si="0"/>
        <v>26.987104090000003</v>
      </c>
      <c r="F32" s="1">
        <f t="shared" si="0"/>
        <v>25.10552756</v>
      </c>
      <c r="G32" s="1">
        <f t="shared" si="0"/>
        <v>24.29189641</v>
      </c>
      <c r="H32" s="1">
        <f t="shared" si="0"/>
        <v>24.701027440000008</v>
      </c>
      <c r="I32" s="1">
        <f t="shared" si="0"/>
        <v>40.164326849999995</v>
      </c>
      <c r="J32" s="1">
        <f t="shared" si="0"/>
        <v>0</v>
      </c>
      <c r="K32" s="1">
        <f t="shared" si="0"/>
        <v>0</v>
      </c>
      <c r="L32" s="1">
        <f t="shared" si="0"/>
        <v>0</v>
      </c>
      <c r="M32" s="2"/>
    </row>
    <row r="34" ht="13.5" thickBot="1"/>
    <row r="35" spans="1:15" ht="12.75">
      <c r="A35" t="s">
        <v>19</v>
      </c>
      <c r="B35" s="5" t="s">
        <v>22</v>
      </c>
      <c r="C35" s="3">
        <f>Z*UGC*Tres/P</f>
        <v>1.5125120443288829</v>
      </c>
      <c r="D35" s="3">
        <f aca="true" t="shared" si="1" ref="D35:L35">Z*UGC*Tres/P</f>
        <v>1.580789426470862</v>
      </c>
      <c r="E35" s="3">
        <f t="shared" si="1"/>
        <v>1.8789580378581388</v>
      </c>
      <c r="F35" s="3">
        <f t="shared" si="1"/>
        <v>2.5811192893132384</v>
      </c>
      <c r="G35" s="3">
        <f t="shared" si="1"/>
        <v>3.8753595358908264</v>
      </c>
      <c r="H35" s="3">
        <f t="shared" si="1"/>
        <v>7.68955863959331</v>
      </c>
      <c r="I35" s="3">
        <f t="shared" si="1"/>
        <v>464.4128407185629</v>
      </c>
      <c r="J35" s="3">
        <f t="shared" si="1"/>
        <v>0</v>
      </c>
      <c r="K35" s="3">
        <f t="shared" si="1"/>
        <v>0</v>
      </c>
      <c r="L35" s="3">
        <f t="shared" si="1"/>
        <v>0</v>
      </c>
      <c r="M35" s="3"/>
      <c r="N35" s="27" t="s">
        <v>23</v>
      </c>
      <c r="O35" s="55">
        <f>C35</f>
        <v>1.5125120443288829</v>
      </c>
    </row>
    <row r="36" spans="1:15" ht="13.5" thickBot="1">
      <c r="A36" t="s">
        <v>15</v>
      </c>
      <c r="B36" t="s">
        <v>149</v>
      </c>
      <c r="C36" s="1">
        <f aca="true" t="shared" si="2" ref="C36:L36">MW_gas/C35</f>
        <v>24.63352297239523</v>
      </c>
      <c r="D36" s="1">
        <f t="shared" si="2"/>
        <v>19.417308299263087</v>
      </c>
      <c r="E36" s="1">
        <f t="shared" si="2"/>
        <v>14.362802971780644</v>
      </c>
      <c r="F36" s="1">
        <f t="shared" si="2"/>
        <v>9.726604912816663</v>
      </c>
      <c r="G36" s="1">
        <f t="shared" si="2"/>
        <v>6.268294898841183</v>
      </c>
      <c r="H36" s="1">
        <f t="shared" si="2"/>
        <v>3.2122815622752583</v>
      </c>
      <c r="I36" s="1">
        <f t="shared" si="2"/>
        <v>0.08648410062877618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/>
      <c r="N36" s="56" t="s">
        <v>40</v>
      </c>
      <c r="O36" s="49">
        <f>C32</f>
        <v>37.25850019000001</v>
      </c>
    </row>
    <row r="37" spans="1:13" ht="12.75">
      <c r="A37" t="s">
        <v>21</v>
      </c>
      <c r="B37" t="s">
        <v>148</v>
      </c>
      <c r="C37" s="2">
        <f aca="true" t="shared" si="3" ref="C37:L37">C36*16.018</f>
        <v>394.5797709718268</v>
      </c>
      <c r="D37" s="2">
        <f t="shared" si="3"/>
        <v>311.02644433759616</v>
      </c>
      <c r="E37" s="2">
        <f t="shared" si="3"/>
        <v>230.06337800198236</v>
      </c>
      <c r="F37" s="2">
        <f t="shared" si="3"/>
        <v>155.80075749349731</v>
      </c>
      <c r="G37" s="2">
        <f t="shared" si="3"/>
        <v>100.40554768963807</v>
      </c>
      <c r="H37" s="2">
        <f t="shared" si="3"/>
        <v>51.45432606452509</v>
      </c>
      <c r="I37" s="2">
        <f t="shared" si="3"/>
        <v>1.3853023238717368</v>
      </c>
      <c r="J37" s="2" t="e">
        <f t="shared" si="3"/>
        <v>#DIV/0!</v>
      </c>
      <c r="K37" s="2" t="e">
        <f t="shared" si="3"/>
        <v>#DIV/0!</v>
      </c>
      <c r="L37" s="2" t="e">
        <f t="shared" si="3"/>
        <v>#DIV/0!</v>
      </c>
      <c r="M37" s="2"/>
    </row>
    <row r="39" spans="1:12" ht="12.75">
      <c r="A39" t="s">
        <v>32</v>
      </c>
      <c r="B39" s="5" t="s">
        <v>33</v>
      </c>
      <c r="C39" s="6">
        <v>0</v>
      </c>
      <c r="D39">
        <f aca="true" t="shared" si="4" ref="D39:L39">Np-C7</f>
        <v>0.07976</v>
      </c>
      <c r="E39">
        <f t="shared" si="4"/>
        <v>0.14004</v>
      </c>
      <c r="F39">
        <f t="shared" si="4"/>
        <v>0.17985000000000007</v>
      </c>
      <c r="G39">
        <f t="shared" si="4"/>
        <v>0.16293999999999997</v>
      </c>
      <c r="H39">
        <f t="shared" si="4"/>
        <v>0.17691999999999986</v>
      </c>
      <c r="I39">
        <f t="shared" si="4"/>
        <v>0.19894000000000012</v>
      </c>
      <c r="J39">
        <f t="shared" si="4"/>
        <v>-0.93845</v>
      </c>
      <c r="K39">
        <f t="shared" si="4"/>
        <v>0</v>
      </c>
      <c r="L39">
        <f t="shared" si="4"/>
        <v>0</v>
      </c>
    </row>
    <row r="40" spans="1:13" ht="12.75">
      <c r="A40" t="s">
        <v>39</v>
      </c>
      <c r="B40" s="5" t="s">
        <v>34</v>
      </c>
      <c r="C40" s="3">
        <f>(1-SL)*Vcell</f>
        <v>1.5125120443288829</v>
      </c>
      <c r="D40" s="3">
        <f aca="true" t="shared" si="5" ref="D40:L40">(1-SL)*Vcell</f>
        <v>1.2553849967929727</v>
      </c>
      <c r="E40" s="3">
        <f t="shared" si="5"/>
        <v>1.1670240431632795</v>
      </c>
      <c r="F40" s="3">
        <f t="shared" si="5"/>
        <v>1.1520501739244235</v>
      </c>
      <c r="G40" s="3">
        <f t="shared" si="5"/>
        <v>1.1750857323595523</v>
      </c>
      <c r="H40" s="3">
        <f t="shared" si="5"/>
        <v>1.224181873318468</v>
      </c>
      <c r="I40" s="3">
        <f t="shared" si="5"/>
        <v>1.286134366654179</v>
      </c>
      <c r="J40" s="3">
        <f t="shared" si="5"/>
        <v>1.5125120443288829</v>
      </c>
      <c r="K40" s="3">
        <f t="shared" si="5"/>
        <v>1.5125120443288829</v>
      </c>
      <c r="L40" s="3">
        <f t="shared" si="5"/>
        <v>1.5125120443288829</v>
      </c>
      <c r="M40" s="3"/>
    </row>
    <row r="41" spans="1:12" ht="12.75">
      <c r="A41" t="s">
        <v>38</v>
      </c>
      <c r="B41" s="5" t="s">
        <v>35</v>
      </c>
      <c r="C41" s="3">
        <f aca="true" t="shared" si="6" ref="C41:L41">Vgas/V</f>
        <v>1</v>
      </c>
      <c r="D41" s="3">
        <f t="shared" si="6"/>
        <v>0.7941506792562751</v>
      </c>
      <c r="E41" s="3">
        <f t="shared" si="6"/>
        <v>0.621101706184771</v>
      </c>
      <c r="F41" s="3">
        <f t="shared" si="6"/>
        <v>0.4463374392242642</v>
      </c>
      <c r="G41" s="3">
        <f t="shared" si="6"/>
        <v>0.30321979715088193</v>
      </c>
      <c r="H41" s="3">
        <f t="shared" si="6"/>
        <v>0.15920053811868887</v>
      </c>
      <c r="I41" s="3">
        <f t="shared" si="6"/>
        <v>0.002769377273600375</v>
      </c>
      <c r="J41" t="e">
        <f t="shared" si="6"/>
        <v>#DIV/0!</v>
      </c>
      <c r="K41" t="e">
        <f t="shared" si="6"/>
        <v>#DIV/0!</v>
      </c>
      <c r="L41" t="e">
        <f t="shared" si="6"/>
        <v>#DIV/0!</v>
      </c>
    </row>
    <row r="42" spans="1:12" ht="12.75">
      <c r="A42" t="s">
        <v>24</v>
      </c>
      <c r="B42" s="5" t="s">
        <v>29</v>
      </c>
      <c r="C42" s="3">
        <f aca="true" t="shared" si="7" ref="C42:L42">1-Ngas-Np</f>
        <v>0</v>
      </c>
      <c r="D42" s="3">
        <f t="shared" si="7"/>
        <v>0.12608932074372486</v>
      </c>
      <c r="E42" s="3">
        <f t="shared" si="7"/>
        <v>0.159098293815229</v>
      </c>
      <c r="F42" s="3">
        <f t="shared" si="7"/>
        <v>0.15401256077573566</v>
      </c>
      <c r="G42" s="3">
        <f t="shared" si="7"/>
        <v>0.1341902028491181</v>
      </c>
      <c r="H42" s="3">
        <f t="shared" si="7"/>
        <v>0.10128946188131127</v>
      </c>
      <c r="I42" s="3">
        <f t="shared" si="7"/>
        <v>0.05878062272639961</v>
      </c>
      <c r="J42" t="e">
        <f t="shared" si="7"/>
        <v>#DIV/0!</v>
      </c>
      <c r="K42" t="e">
        <f t="shared" si="7"/>
        <v>#DIV/0!</v>
      </c>
      <c r="L42" t="e">
        <f t="shared" si="7"/>
        <v>#DIV/0!</v>
      </c>
    </row>
    <row r="44" spans="1:13" ht="12.75">
      <c r="A44" t="s">
        <v>31</v>
      </c>
      <c r="B44" s="5" t="s">
        <v>41</v>
      </c>
      <c r="C44" s="1">
        <f>Ngas_p*MW_gas</f>
        <v>0</v>
      </c>
      <c r="D44" s="1">
        <f aca="true" t="shared" si="8" ref="D44:L44">Ngas_p*MW_gas</f>
        <v>2.448207329844</v>
      </c>
      <c r="E44" s="1">
        <f t="shared" si="8"/>
        <v>3.7792740567636005</v>
      </c>
      <c r="F44" s="1">
        <f t="shared" si="8"/>
        <v>4.515229131666001</v>
      </c>
      <c r="G44" s="1">
        <f t="shared" si="8"/>
        <v>3.9581216010453995</v>
      </c>
      <c r="H44" s="1">
        <f t="shared" si="8"/>
        <v>4.370105774684798</v>
      </c>
      <c r="I44" s="1">
        <f t="shared" si="8"/>
        <v>7.990291183539004</v>
      </c>
      <c r="J44" s="1">
        <f t="shared" si="8"/>
        <v>0</v>
      </c>
      <c r="K44" s="1">
        <f t="shared" si="8"/>
        <v>0</v>
      </c>
      <c r="L44" s="1">
        <f t="shared" si="8"/>
        <v>0</v>
      </c>
      <c r="M44" s="1"/>
    </row>
    <row r="45" spans="1:13" ht="12.75">
      <c r="A45" t="s">
        <v>36</v>
      </c>
      <c r="B45" s="5" t="s">
        <v>42</v>
      </c>
      <c r="C45" s="2">
        <f>Ngas*MW_gas</f>
        <v>37.25850019000001</v>
      </c>
      <c r="D45" s="2">
        <f aca="true" t="shared" si="9" ref="D45:L45">Ngas*MW_gas</f>
        <v>24.376197516998552</v>
      </c>
      <c r="E45" s="2">
        <f t="shared" si="9"/>
        <v>16.761736395285013</v>
      </c>
      <c r="F45" s="2">
        <f t="shared" si="9"/>
        <v>11.20553688150459</v>
      </c>
      <c r="G45" s="2">
        <f t="shared" si="9"/>
        <v>7.3657839018504365</v>
      </c>
      <c r="H45" s="2">
        <f t="shared" si="9"/>
        <v>3.9324168605325007</v>
      </c>
      <c r="I45" s="2">
        <f t="shared" si="9"/>
        <v>0.11123017398784732</v>
      </c>
      <c r="J45" s="2" t="e">
        <f t="shared" si="9"/>
        <v>#DIV/0!</v>
      </c>
      <c r="K45" s="2" t="e">
        <f t="shared" si="9"/>
        <v>#DIV/0!</v>
      </c>
      <c r="L45" s="2" t="e">
        <f t="shared" si="9"/>
        <v>#DIV/0!</v>
      </c>
      <c r="M45" s="2"/>
    </row>
    <row r="46" spans="1:13" ht="12.75">
      <c r="A46" t="s">
        <v>37</v>
      </c>
      <c r="B46" s="5" t="s">
        <v>25</v>
      </c>
      <c r="C46" s="2">
        <f>Init_mass-Mgas-SUM($C$44:C44)</f>
        <v>0</v>
      </c>
      <c r="D46" s="2">
        <f>Init_mass-Mgas-SUM($C$44:D44)</f>
        <v>10.434095343157455</v>
      </c>
      <c r="E46" s="2">
        <f>Init_mass-Mgas-SUM($C$44:E44)</f>
        <v>14.269282408107394</v>
      </c>
      <c r="F46" s="2">
        <f>Init_mass-Mgas-SUM($C$44:F44)</f>
        <v>15.310252790221814</v>
      </c>
      <c r="G46" s="2">
        <f>Init_mass-Mgas-SUM($C$44:G44)</f>
        <v>15.191884168830573</v>
      </c>
      <c r="H46" s="2">
        <f>Init_mass-Mgas-SUM($C$44:H44)</f>
        <v>14.25514543546371</v>
      </c>
      <c r="I46" s="2">
        <f>Init_mass-Mgas-SUM($C$44:I44)</f>
        <v>10.086040938469356</v>
      </c>
      <c r="J46" s="2" t="e">
        <f>Init_mass-Mgas-SUM($C$44:J44)</f>
        <v>#DIV/0!</v>
      </c>
      <c r="K46" s="2" t="e">
        <f>Init_mass-Mgas-SUM($C$44:K44)</f>
        <v>#DIV/0!</v>
      </c>
      <c r="L46" s="2" t="e">
        <f>Init_mass-Mgas-SUM($C$44:L44)</f>
        <v>#DIV/0!</v>
      </c>
      <c r="M46" s="2"/>
    </row>
    <row r="47" spans="1:13" ht="12.75">
      <c r="A47" t="s">
        <v>45</v>
      </c>
      <c r="B47" s="5"/>
      <c r="C47" s="2"/>
      <c r="D47" s="2">
        <f>Mliq/Nliq</f>
        <v>82.75161831004418</v>
      </c>
      <c r="E47" s="2">
        <f aca="true" t="shared" si="10" ref="E47:L47">Mliq/Nliq</f>
        <v>89.68846909621307</v>
      </c>
      <c r="F47" s="2">
        <f t="shared" si="10"/>
        <v>99.40911775706225</v>
      </c>
      <c r="G47" s="2">
        <f t="shared" si="10"/>
        <v>113.21157466251206</v>
      </c>
      <c r="H47" s="2">
        <f t="shared" si="10"/>
        <v>140.73670815003018</v>
      </c>
      <c r="I47" s="2">
        <f t="shared" si="10"/>
        <v>171.58785447741613</v>
      </c>
      <c r="J47" s="2" t="e">
        <f t="shared" si="10"/>
        <v>#DIV/0!</v>
      </c>
      <c r="K47" s="2" t="e">
        <f t="shared" si="10"/>
        <v>#DIV/0!</v>
      </c>
      <c r="L47" s="2" t="e">
        <f t="shared" si="10"/>
        <v>#DIV/0!</v>
      </c>
      <c r="M47" s="2"/>
    </row>
    <row r="49" spans="1:13" ht="12.75">
      <c r="A49" t="s">
        <v>43</v>
      </c>
      <c r="B49" t="s">
        <v>151</v>
      </c>
      <c r="D49" s="2">
        <f>Mliq/Vcell/SL</f>
        <v>40.57953234849881</v>
      </c>
      <c r="E49" s="2">
        <f aca="true" t="shared" si="11" ref="E49:L49">Mliq/Vcell/SL</f>
        <v>41.30181760282804</v>
      </c>
      <c r="F49" s="2">
        <f t="shared" si="11"/>
        <v>42.47398697965699</v>
      </c>
      <c r="G49" s="2">
        <f t="shared" si="11"/>
        <v>45.02282018306681</v>
      </c>
      <c r="H49" s="2">
        <f t="shared" si="11"/>
        <v>49.44035300054947</v>
      </c>
      <c r="I49" s="2">
        <f t="shared" si="11"/>
        <v>44.55404367634963</v>
      </c>
      <c r="J49" s="2" t="e">
        <f t="shared" si="11"/>
        <v>#DIV/0!</v>
      </c>
      <c r="K49" s="2" t="e">
        <f t="shared" si="11"/>
        <v>#DIV/0!</v>
      </c>
      <c r="L49" s="2" t="e">
        <f t="shared" si="11"/>
        <v>#DIV/0!</v>
      </c>
      <c r="M49" s="2"/>
    </row>
    <row r="50" spans="1:13" ht="12.75">
      <c r="A50" t="s">
        <v>44</v>
      </c>
      <c r="B50" t="s">
        <v>150</v>
      </c>
      <c r="D50" s="2">
        <f aca="true" t="shared" si="12" ref="D50:L50">D49*16.018</f>
        <v>650.002949158254</v>
      </c>
      <c r="E50" s="2">
        <f t="shared" si="12"/>
        <v>661.5725143620996</v>
      </c>
      <c r="F50" s="2">
        <f t="shared" si="12"/>
        <v>680.3483234401457</v>
      </c>
      <c r="G50" s="2">
        <f t="shared" si="12"/>
        <v>721.1755336923642</v>
      </c>
      <c r="H50" s="2">
        <f t="shared" si="12"/>
        <v>791.9355743628015</v>
      </c>
      <c r="I50" s="2">
        <f t="shared" si="12"/>
        <v>713.6666716077684</v>
      </c>
      <c r="J50" s="2" t="e">
        <f t="shared" si="12"/>
        <v>#DIV/0!</v>
      </c>
      <c r="K50" s="2" t="e">
        <f t="shared" si="12"/>
        <v>#DIV/0!</v>
      </c>
      <c r="L50" s="2" t="e">
        <f t="shared" si="12"/>
        <v>#DIV/0!</v>
      </c>
      <c r="M50" s="2"/>
    </row>
    <row r="52" ht="12.75">
      <c r="B52" s="9"/>
    </row>
    <row r="53" spans="1:14" ht="12.75">
      <c r="A53" s="9" t="s">
        <v>47</v>
      </c>
      <c r="B53" t="str">
        <f aca="true" t="shared" si="13" ref="B53:C63">B12</f>
        <v>N2</v>
      </c>
      <c r="C53" s="6">
        <f t="shared" si="13"/>
        <v>0.393</v>
      </c>
      <c r="D53" s="1">
        <f aca="true" t="shared" si="14" ref="D53:L53">C53-D12*Ngas_p</f>
        <v>0.3606972</v>
      </c>
      <c r="E53" s="1">
        <f t="shared" si="14"/>
        <v>0.30005988</v>
      </c>
      <c r="F53" s="1">
        <f t="shared" si="14"/>
        <v>0.22056617999999997</v>
      </c>
      <c r="G53" s="1">
        <f t="shared" si="14"/>
        <v>0.14936139999999998</v>
      </c>
      <c r="H53" s="1">
        <f t="shared" si="14"/>
        <v>0.07363964000000005</v>
      </c>
      <c r="I53" s="1">
        <f t="shared" si="14"/>
        <v>0.006994739999999999</v>
      </c>
      <c r="J53" s="1">
        <f t="shared" si="14"/>
        <v>0.006994739999999999</v>
      </c>
      <c r="K53" s="1">
        <f t="shared" si="14"/>
        <v>0.006994739999999999</v>
      </c>
      <c r="L53" s="1">
        <f t="shared" si="14"/>
        <v>0.006994739999999999</v>
      </c>
      <c r="M53" s="1"/>
      <c r="N53" s="1"/>
    </row>
    <row r="54" spans="1:14" ht="12.75">
      <c r="A54" s="9" t="s">
        <v>84</v>
      </c>
      <c r="B54" t="str">
        <f t="shared" si="13"/>
        <v>CO2</v>
      </c>
      <c r="C54" s="6">
        <f t="shared" si="13"/>
        <v>1.776</v>
      </c>
      <c r="D54" s="1">
        <f aca="true" t="shared" si="15" ref="D54:L54">C54-D13*Ngas_p</f>
        <v>1.6301189600000001</v>
      </c>
      <c r="E54" s="1">
        <f t="shared" si="15"/>
        <v>1.36922444</v>
      </c>
      <c r="F54" s="1">
        <f t="shared" si="15"/>
        <v>1.0276892899999999</v>
      </c>
      <c r="G54" s="1">
        <f t="shared" si="15"/>
        <v>0.7122374499999999</v>
      </c>
      <c r="H54" s="1">
        <f t="shared" si="15"/>
        <v>0.3681280500000002</v>
      </c>
      <c r="I54" s="1">
        <f t="shared" si="15"/>
        <v>0.04743677000000002</v>
      </c>
      <c r="J54" s="1">
        <f t="shared" si="15"/>
        <v>0.04743677000000002</v>
      </c>
      <c r="K54" s="1">
        <f t="shared" si="15"/>
        <v>0.04743677000000002</v>
      </c>
      <c r="L54" s="1">
        <f t="shared" si="15"/>
        <v>0.04743677000000002</v>
      </c>
      <c r="M54" s="1"/>
      <c r="N54" s="1"/>
    </row>
    <row r="55" spans="1:14" ht="12.75">
      <c r="A55" s="9" t="s">
        <v>83</v>
      </c>
      <c r="B55" t="str">
        <f t="shared" si="13"/>
        <v>H2S</v>
      </c>
      <c r="C55" s="6">
        <f t="shared" si="13"/>
        <v>0</v>
      </c>
      <c r="D55" s="1">
        <f aca="true" t="shared" si="16" ref="D55:L55">C55-D14*Ngas_p</f>
        <v>0</v>
      </c>
      <c r="E55" s="1">
        <f t="shared" si="16"/>
        <v>0</v>
      </c>
      <c r="F55" s="1">
        <f t="shared" si="16"/>
        <v>0</v>
      </c>
      <c r="G55" s="1">
        <f t="shared" si="16"/>
        <v>0</v>
      </c>
      <c r="H55" s="1">
        <f t="shared" si="16"/>
        <v>0</v>
      </c>
      <c r="I55" s="1">
        <f t="shared" si="16"/>
        <v>0</v>
      </c>
      <c r="J55" s="1">
        <f t="shared" si="16"/>
        <v>0</v>
      </c>
      <c r="K55" s="1">
        <f t="shared" si="16"/>
        <v>0</v>
      </c>
      <c r="L55" s="1">
        <f t="shared" si="16"/>
        <v>0</v>
      </c>
      <c r="M55" s="1"/>
      <c r="N55" s="1"/>
    </row>
    <row r="56" spans="1:14" ht="12.75">
      <c r="A56" s="9"/>
      <c r="B56" t="str">
        <f t="shared" si="13"/>
        <v>C1</v>
      </c>
      <c r="C56" s="6">
        <f t="shared" si="13"/>
        <v>68.25</v>
      </c>
      <c r="D56" s="1">
        <f aca="true" t="shared" si="17" ref="D56:L56">C56-D15*Ngas_p</f>
        <v>62.51421912</v>
      </c>
      <c r="E56" s="1">
        <f t="shared" si="17"/>
        <v>52.10378556</v>
      </c>
      <c r="F56" s="1">
        <f t="shared" si="17"/>
        <v>38.51827625999999</v>
      </c>
      <c r="G56" s="1">
        <f t="shared" si="17"/>
        <v>26.126852199999995</v>
      </c>
      <c r="H56" s="1">
        <f t="shared" si="17"/>
        <v>12.906859040000006</v>
      </c>
      <c r="I56" s="1">
        <f t="shared" si="17"/>
        <v>0.946984119999998</v>
      </c>
      <c r="J56" s="1">
        <f t="shared" si="17"/>
        <v>0.946984119999998</v>
      </c>
      <c r="K56" s="1">
        <f t="shared" si="17"/>
        <v>0.946984119999998</v>
      </c>
      <c r="L56" s="1">
        <f t="shared" si="17"/>
        <v>0.946984119999998</v>
      </c>
      <c r="M56" s="1"/>
      <c r="N56" s="1"/>
    </row>
    <row r="57" spans="2:14" ht="12.75">
      <c r="B57" t="str">
        <f t="shared" si="13"/>
        <v>C2</v>
      </c>
      <c r="C57" s="6">
        <f t="shared" si="13"/>
        <v>7.024</v>
      </c>
      <c r="D57" s="1">
        <f aca="true" t="shared" si="18" ref="D57:L57">C57-D16*Ngas_p</f>
        <v>6.45148272</v>
      </c>
      <c r="E57" s="1">
        <f t="shared" si="18"/>
        <v>5.43703296</v>
      </c>
      <c r="F57" s="1">
        <f t="shared" si="18"/>
        <v>4.094632559999999</v>
      </c>
      <c r="G57" s="1">
        <f t="shared" si="18"/>
        <v>2.852866819999999</v>
      </c>
      <c r="H57" s="1">
        <f t="shared" si="18"/>
        <v>1.4921751000000003</v>
      </c>
      <c r="I57" s="1">
        <f t="shared" si="18"/>
        <v>0.06418377999999958</v>
      </c>
      <c r="J57" s="1">
        <f t="shared" si="18"/>
        <v>0.06418377999999958</v>
      </c>
      <c r="K57" s="1">
        <f t="shared" si="18"/>
        <v>0.06418377999999958</v>
      </c>
      <c r="L57" s="1">
        <f t="shared" si="18"/>
        <v>0.06418377999999958</v>
      </c>
      <c r="M57" s="1"/>
      <c r="N57" s="1"/>
    </row>
    <row r="58" spans="2:14" ht="12.75">
      <c r="B58" t="str">
        <f t="shared" si="13"/>
        <v>C3</v>
      </c>
      <c r="C58" s="6">
        <f t="shared" si="13"/>
        <v>6.625</v>
      </c>
      <c r="D58" s="1">
        <f aca="true" t="shared" si="19" ref="D58:L58">C58-D17*Ngas_p</f>
        <v>6.10648024</v>
      </c>
      <c r="E58" s="1">
        <f t="shared" si="19"/>
        <v>5.1960802</v>
      </c>
      <c r="F58" s="1">
        <f t="shared" si="19"/>
        <v>4.026875349999999</v>
      </c>
      <c r="G58" s="1">
        <f t="shared" si="19"/>
        <v>2.9676024099999996</v>
      </c>
      <c r="H58" s="1">
        <f t="shared" si="19"/>
        <v>1.7093473700000006</v>
      </c>
      <c r="I58" s="1">
        <f t="shared" si="19"/>
        <v>0.09972382999999985</v>
      </c>
      <c r="J58" s="1">
        <f t="shared" si="19"/>
        <v>0.09972382999999985</v>
      </c>
      <c r="K58" s="1">
        <f t="shared" si="19"/>
        <v>0.09972382999999985</v>
      </c>
      <c r="L58" s="1">
        <f t="shared" si="19"/>
        <v>0.09972382999999985</v>
      </c>
      <c r="M58" s="1"/>
      <c r="N58" s="1"/>
    </row>
    <row r="59" spans="2:14" ht="12.75">
      <c r="B59" t="str">
        <f t="shared" si="13"/>
        <v>iC4</v>
      </c>
      <c r="C59" s="6">
        <f t="shared" si="13"/>
        <v>1.418</v>
      </c>
      <c r="D59" s="1">
        <f aca="true" t="shared" si="20" ref="D59:L59">C59-D18*Ngas_p</f>
        <v>1.3101644799999999</v>
      </c>
      <c r="E59" s="1">
        <f t="shared" si="20"/>
        <v>1.1264319999999999</v>
      </c>
      <c r="F59" s="1">
        <f t="shared" si="20"/>
        <v>0.8926269999999998</v>
      </c>
      <c r="G59" s="1">
        <f t="shared" si="20"/>
        <v>0.6768944399999999</v>
      </c>
      <c r="H59" s="1">
        <f t="shared" si="20"/>
        <v>0.4182374000000001</v>
      </c>
      <c r="I59" s="1">
        <f t="shared" si="20"/>
        <v>0.022147859999999853</v>
      </c>
      <c r="J59" s="1">
        <f t="shared" si="20"/>
        <v>0.022147859999999853</v>
      </c>
      <c r="K59" s="1">
        <f t="shared" si="20"/>
        <v>0.022147859999999853</v>
      </c>
      <c r="L59" s="1">
        <f t="shared" si="20"/>
        <v>0.022147859999999853</v>
      </c>
      <c r="M59" s="1"/>
      <c r="N59" s="1"/>
    </row>
    <row r="60" spans="2:14" ht="12.75">
      <c r="B60" t="str">
        <f t="shared" si="13"/>
        <v>nC4</v>
      </c>
      <c r="C60" s="6">
        <f t="shared" si="13"/>
        <v>2.319</v>
      </c>
      <c r="D60" s="1">
        <f aca="true" t="shared" si="21" ref="D60:L60">C60-D19*Ngas_p</f>
        <v>2.14528272</v>
      </c>
      <c r="E60" s="1">
        <f t="shared" si="21"/>
        <v>1.8493781999999999</v>
      </c>
      <c r="F60" s="1">
        <f t="shared" si="21"/>
        <v>1.4693551499999997</v>
      </c>
      <c r="G60" s="1">
        <f t="shared" si="21"/>
        <v>1.12506293</v>
      </c>
      <c r="H60" s="1">
        <f t="shared" si="21"/>
        <v>0.7075317300000002</v>
      </c>
      <c r="I60" s="1">
        <f t="shared" si="21"/>
        <v>0.0623693099999999</v>
      </c>
      <c r="J60" s="1">
        <f t="shared" si="21"/>
        <v>0.0623693099999999</v>
      </c>
      <c r="K60" s="1">
        <f t="shared" si="21"/>
        <v>0.0623693099999999</v>
      </c>
      <c r="L60" s="1">
        <f t="shared" si="21"/>
        <v>0.0623693099999999</v>
      </c>
      <c r="M60" s="1"/>
      <c r="N60" s="1"/>
    </row>
    <row r="61" spans="2:14" ht="12.75">
      <c r="B61" t="str">
        <f t="shared" si="13"/>
        <v>iC5</v>
      </c>
      <c r="C61" s="6">
        <f t="shared" si="13"/>
        <v>0.857</v>
      </c>
      <c r="D61" s="1">
        <f aca="true" t="shared" si="22" ref="D61:L61">C61-D20*Ngas_p</f>
        <v>0.793192</v>
      </c>
      <c r="E61" s="1">
        <f t="shared" si="22"/>
        <v>0.68592136</v>
      </c>
      <c r="F61" s="1">
        <f t="shared" si="22"/>
        <v>0.55570996</v>
      </c>
      <c r="G61" s="1">
        <f t="shared" si="22"/>
        <v>0.44328135999999996</v>
      </c>
      <c r="H61" s="1">
        <f t="shared" si="22"/>
        <v>0.2990915600000001</v>
      </c>
      <c r="I61" s="1">
        <f t="shared" si="22"/>
        <v>0.05777733999999993</v>
      </c>
      <c r="J61" s="1">
        <f t="shared" si="22"/>
        <v>0.05777733999999993</v>
      </c>
      <c r="K61" s="1">
        <f t="shared" si="22"/>
        <v>0.05777733999999993</v>
      </c>
      <c r="L61" s="1">
        <f t="shared" si="22"/>
        <v>0.05777733999999993</v>
      </c>
      <c r="M61" s="1"/>
      <c r="N61" s="1"/>
    </row>
    <row r="62" spans="2:14" ht="12.75">
      <c r="B62" t="str">
        <f t="shared" si="13"/>
        <v>nC5</v>
      </c>
      <c r="C62" s="6">
        <f t="shared" si="13"/>
        <v>0.842</v>
      </c>
      <c r="D62" s="1">
        <f aca="true" t="shared" si="23" ref="D62:L62">C62-D21*Ngas_p</f>
        <v>0.77922888</v>
      </c>
      <c r="E62" s="1">
        <f t="shared" si="23"/>
        <v>0.6732186</v>
      </c>
      <c r="F62" s="1">
        <f t="shared" si="23"/>
        <v>0.544446</v>
      </c>
      <c r="G62" s="1">
        <f t="shared" si="23"/>
        <v>0.43348386</v>
      </c>
      <c r="H62" s="1">
        <f t="shared" si="23"/>
        <v>0.2986708200000001</v>
      </c>
      <c r="I62" s="1">
        <f t="shared" si="23"/>
        <v>0.06969087999999998</v>
      </c>
      <c r="J62" s="1">
        <f t="shared" si="23"/>
        <v>0.06969087999999998</v>
      </c>
      <c r="K62" s="1">
        <f t="shared" si="23"/>
        <v>0.06969087999999998</v>
      </c>
      <c r="L62" s="1">
        <f t="shared" si="23"/>
        <v>0.06969087999999998</v>
      </c>
      <c r="M62" s="1"/>
      <c r="N62" s="1"/>
    </row>
    <row r="63" spans="2:14" ht="12.75">
      <c r="B63" t="str">
        <f t="shared" si="13"/>
        <v>C6</v>
      </c>
      <c r="C63" s="6">
        <f t="shared" si="13"/>
        <v>0.968</v>
      </c>
      <c r="D63" s="1">
        <f aca="true" t="shared" si="24" ref="D63:L63">C63-D22*Ngas_p</f>
        <v>0.89964568</v>
      </c>
      <c r="E63" s="1">
        <f t="shared" si="24"/>
        <v>0.79167484</v>
      </c>
      <c r="F63" s="1">
        <f t="shared" si="24"/>
        <v>0.6655999899999999</v>
      </c>
      <c r="G63" s="1">
        <f t="shared" si="24"/>
        <v>0.5601778099999999</v>
      </c>
      <c r="H63" s="1">
        <f t="shared" si="24"/>
        <v>0.43615689</v>
      </c>
      <c r="I63" s="1">
        <f t="shared" si="24"/>
        <v>0.18390096999999989</v>
      </c>
      <c r="J63" s="1">
        <f t="shared" si="24"/>
        <v>0.18390096999999989</v>
      </c>
      <c r="K63" s="1">
        <f t="shared" si="24"/>
        <v>0.18390096999999989</v>
      </c>
      <c r="L63" s="1">
        <f t="shared" si="24"/>
        <v>0.18390096999999989</v>
      </c>
      <c r="M63" s="1"/>
      <c r="N63" s="1"/>
    </row>
    <row r="64" spans="2:14" ht="12.75">
      <c r="B64" t="str">
        <f aca="true" t="shared" si="25" ref="B64:C69">B23</f>
        <v>C7</v>
      </c>
      <c r="C64" s="6">
        <f t="shared" si="25"/>
        <v>0</v>
      </c>
      <c r="D64" s="1">
        <f aca="true" t="shared" si="26" ref="D64:L64">C64-D23*Ngas_p</f>
        <v>0</v>
      </c>
      <c r="E64" s="1">
        <f t="shared" si="26"/>
        <v>0</v>
      </c>
      <c r="F64" s="1">
        <f t="shared" si="26"/>
        <v>0</v>
      </c>
      <c r="G64" s="1">
        <f t="shared" si="26"/>
        <v>0</v>
      </c>
      <c r="H64" s="1">
        <f t="shared" si="26"/>
        <v>0</v>
      </c>
      <c r="I64" s="1">
        <f t="shared" si="26"/>
        <v>0</v>
      </c>
      <c r="J64" s="1">
        <f t="shared" si="26"/>
        <v>0</v>
      </c>
      <c r="K64" s="1">
        <f t="shared" si="26"/>
        <v>0</v>
      </c>
      <c r="L64" s="1">
        <f t="shared" si="26"/>
        <v>0</v>
      </c>
      <c r="M64" s="1"/>
      <c r="N64" s="1"/>
    </row>
    <row r="65" spans="2:14" ht="12.75">
      <c r="B65" t="str">
        <f t="shared" si="25"/>
        <v>C8</v>
      </c>
      <c r="C65" s="6">
        <f t="shared" si="25"/>
        <v>0</v>
      </c>
      <c r="D65" s="1">
        <f aca="true" t="shared" si="27" ref="D65:L65">C65-D24*Ngas_p</f>
        <v>0</v>
      </c>
      <c r="E65" s="1">
        <f t="shared" si="27"/>
        <v>0</v>
      </c>
      <c r="F65" s="1">
        <f t="shared" si="27"/>
        <v>0</v>
      </c>
      <c r="G65" s="1">
        <f t="shared" si="27"/>
        <v>0</v>
      </c>
      <c r="H65" s="1">
        <f t="shared" si="27"/>
        <v>0</v>
      </c>
      <c r="I65" s="1">
        <f t="shared" si="27"/>
        <v>0</v>
      </c>
      <c r="J65" s="1">
        <f t="shared" si="27"/>
        <v>0</v>
      </c>
      <c r="K65" s="1">
        <f t="shared" si="27"/>
        <v>0</v>
      </c>
      <c r="L65" s="1">
        <f t="shared" si="27"/>
        <v>0</v>
      </c>
      <c r="M65" s="1"/>
      <c r="N65" s="1"/>
    </row>
    <row r="66" spans="2:14" ht="12.75">
      <c r="B66" t="str">
        <f t="shared" si="25"/>
        <v>C9</v>
      </c>
      <c r="C66" s="6">
        <f t="shared" si="25"/>
        <v>0</v>
      </c>
      <c r="D66" s="1">
        <f aca="true" t="shared" si="28" ref="D66:L66">C66-D25*Ngas_p</f>
        <v>0</v>
      </c>
      <c r="E66" s="1">
        <f t="shared" si="28"/>
        <v>0</v>
      </c>
      <c r="F66" s="1">
        <f t="shared" si="28"/>
        <v>0</v>
      </c>
      <c r="G66" s="1">
        <f t="shared" si="28"/>
        <v>0</v>
      </c>
      <c r="H66" s="1">
        <f t="shared" si="28"/>
        <v>0</v>
      </c>
      <c r="I66" s="1">
        <f t="shared" si="28"/>
        <v>0</v>
      </c>
      <c r="J66" s="1">
        <f t="shared" si="28"/>
        <v>0</v>
      </c>
      <c r="K66" s="1">
        <f t="shared" si="28"/>
        <v>0</v>
      </c>
      <c r="L66" s="1">
        <f t="shared" si="28"/>
        <v>0</v>
      </c>
      <c r="M66" s="1"/>
      <c r="N66" s="1"/>
    </row>
    <row r="67" spans="2:14" ht="12.75">
      <c r="B67" t="str">
        <f t="shared" si="25"/>
        <v>C10</v>
      </c>
      <c r="C67" s="6">
        <f t="shared" si="25"/>
        <v>0</v>
      </c>
      <c r="D67" s="1">
        <f aca="true" t="shared" si="29" ref="D67:L67">C67-D26*Ngas_p</f>
        <v>0</v>
      </c>
      <c r="E67" s="1">
        <f t="shared" si="29"/>
        <v>0</v>
      </c>
      <c r="F67" s="1">
        <f t="shared" si="29"/>
        <v>0</v>
      </c>
      <c r="G67" s="1">
        <f t="shared" si="29"/>
        <v>0</v>
      </c>
      <c r="H67" s="1">
        <f t="shared" si="29"/>
        <v>0</v>
      </c>
      <c r="I67" s="1">
        <f t="shared" si="29"/>
        <v>0</v>
      </c>
      <c r="J67" s="1">
        <f t="shared" si="29"/>
        <v>0</v>
      </c>
      <c r="K67" s="1">
        <f t="shared" si="29"/>
        <v>0</v>
      </c>
      <c r="L67" s="1">
        <f t="shared" si="29"/>
        <v>0</v>
      </c>
      <c r="M67" s="1"/>
      <c r="N67" s="1"/>
    </row>
    <row r="68" spans="2:14" ht="12.75">
      <c r="B68" t="str">
        <f t="shared" si="25"/>
        <v>C11</v>
      </c>
      <c r="C68" s="6">
        <f t="shared" si="25"/>
        <v>0</v>
      </c>
      <c r="D68" s="1">
        <f aca="true" t="shared" si="30" ref="D68:L68">C68-D27*Ngas_p</f>
        <v>0</v>
      </c>
      <c r="E68" s="1">
        <f t="shared" si="30"/>
        <v>0</v>
      </c>
      <c r="F68" s="1">
        <f t="shared" si="30"/>
        <v>0</v>
      </c>
      <c r="G68" s="1">
        <f t="shared" si="30"/>
        <v>0</v>
      </c>
      <c r="H68" s="1">
        <f t="shared" si="30"/>
        <v>0</v>
      </c>
      <c r="I68" s="1">
        <f t="shared" si="30"/>
        <v>0</v>
      </c>
      <c r="J68" s="1">
        <f t="shared" si="30"/>
        <v>0</v>
      </c>
      <c r="K68" s="1">
        <f t="shared" si="30"/>
        <v>0</v>
      </c>
      <c r="L68" s="1">
        <f t="shared" si="30"/>
        <v>0</v>
      </c>
      <c r="M68" s="1"/>
      <c r="N68" s="1"/>
    </row>
    <row r="69" spans="2:14" ht="12.75">
      <c r="B69" t="str">
        <f t="shared" si="25"/>
        <v>C7+</v>
      </c>
      <c r="C69" s="6">
        <f>C28</f>
        <v>9.529</v>
      </c>
      <c r="D69" s="1">
        <f aca="true" t="shared" si="31" ref="D69:L69">C69-D28*Ngas_p</f>
        <v>9.034488</v>
      </c>
      <c r="E69" s="1">
        <f t="shared" si="31"/>
        <v>8.488332</v>
      </c>
      <c r="F69" s="1">
        <f t="shared" si="31"/>
        <v>8.020722</v>
      </c>
      <c r="G69" s="1">
        <f t="shared" si="31"/>
        <v>7.6948419999999995</v>
      </c>
      <c r="H69" s="1">
        <f t="shared" si="31"/>
        <v>7.341002</v>
      </c>
      <c r="I69" s="1">
        <f t="shared" si="31"/>
        <v>4.595629999999998</v>
      </c>
      <c r="J69" s="1">
        <f t="shared" si="31"/>
        <v>4.595629999999998</v>
      </c>
      <c r="K69" s="1">
        <f t="shared" si="31"/>
        <v>4.595629999999998</v>
      </c>
      <c r="L69" s="1">
        <f t="shared" si="31"/>
        <v>4.595629999999998</v>
      </c>
      <c r="M69" s="1"/>
      <c r="N69" s="1"/>
    </row>
    <row r="71" spans="2:13" ht="12.75">
      <c r="B71" t="s">
        <v>48</v>
      </c>
      <c r="C71" s="1">
        <f aca="true" t="shared" si="32" ref="C71:L71">SUM(C53:C69)</f>
        <v>100.001</v>
      </c>
      <c r="D71" s="1">
        <f t="shared" si="32"/>
        <v>92.025</v>
      </c>
      <c r="E71" s="1">
        <f t="shared" si="32"/>
        <v>78.02114003999999</v>
      </c>
      <c r="F71" s="1">
        <f t="shared" si="32"/>
        <v>60.03649973999998</v>
      </c>
      <c r="G71" s="1">
        <f t="shared" si="32"/>
        <v>43.742662679999995</v>
      </c>
      <c r="H71" s="1">
        <f t="shared" si="32"/>
        <v>26.050839600000007</v>
      </c>
      <c r="I71" s="1">
        <f t="shared" si="32"/>
        <v>6.156839599999995</v>
      </c>
      <c r="J71" s="1">
        <f t="shared" si="32"/>
        <v>6.156839599999995</v>
      </c>
      <c r="K71" s="1">
        <f t="shared" si="32"/>
        <v>6.156839599999995</v>
      </c>
      <c r="L71" s="1">
        <f t="shared" si="32"/>
        <v>6.156839599999995</v>
      </c>
      <c r="M71" s="1"/>
    </row>
    <row r="72" ht="12.75">
      <c r="B72" s="9"/>
    </row>
    <row r="73" spans="1:13" ht="12.75">
      <c r="A73" s="9" t="s">
        <v>49</v>
      </c>
      <c r="B73" t="str">
        <f aca="true" t="shared" si="33" ref="B73:B89">B12</f>
        <v>N2</v>
      </c>
      <c r="C73" s="1">
        <f aca="true" t="shared" si="34" ref="C73:H73">C53-Ngas*C12</f>
        <v>0</v>
      </c>
      <c r="D73" s="1">
        <f t="shared" si="34"/>
        <v>0.03906617490120856</v>
      </c>
      <c r="E73" s="1">
        <f t="shared" si="34"/>
        <v>0.031122841221994157</v>
      </c>
      <c r="F73" s="1">
        <f t="shared" si="34"/>
        <v>0.023285031862875172</v>
      </c>
      <c r="G73" s="1">
        <f t="shared" si="34"/>
        <v>0.016854348645064576</v>
      </c>
      <c r="H73" s="1">
        <f t="shared" si="34"/>
        <v>0.005501809685201212</v>
      </c>
      <c r="I73" s="1">
        <f aca="true" t="shared" si="35" ref="I73:L83">I53-Ngas*I12</f>
        <v>0.006066998613343874</v>
      </c>
      <c r="J73" s="1" t="e">
        <f t="shared" si="35"/>
        <v>#DIV/0!</v>
      </c>
      <c r="K73" s="1" t="e">
        <f t="shared" si="35"/>
        <v>#DIV/0!</v>
      </c>
      <c r="L73" s="1" t="e">
        <f t="shared" si="35"/>
        <v>#DIV/0!</v>
      </c>
      <c r="M73" s="1"/>
    </row>
    <row r="74" spans="2:13" ht="12.75">
      <c r="B74" t="str">
        <f t="shared" si="33"/>
        <v>CO2</v>
      </c>
      <c r="C74" s="1">
        <f aca="true" t="shared" si="36" ref="C74:H74">C54-Ngas*C13</f>
        <v>0</v>
      </c>
      <c r="D74" s="1">
        <f t="shared" si="36"/>
        <v>0.17761736764027303</v>
      </c>
      <c r="E74" s="1">
        <f t="shared" si="36"/>
        <v>0.21211196137777155</v>
      </c>
      <c r="F74" s="1">
        <f t="shared" si="36"/>
        <v>0.18009449291312207</v>
      </c>
      <c r="G74" s="1">
        <f t="shared" si="36"/>
        <v>0.12520392271589253</v>
      </c>
      <c r="H74" s="1">
        <f t="shared" si="36"/>
        <v>0.058483003359150354</v>
      </c>
      <c r="I74" s="1">
        <f t="shared" si="35"/>
        <v>0.04297253383495621</v>
      </c>
      <c r="J74" s="1" t="e">
        <f t="shared" si="35"/>
        <v>#DIV/0!</v>
      </c>
      <c r="K74" s="1" t="e">
        <f t="shared" si="35"/>
        <v>#DIV/0!</v>
      </c>
      <c r="L74" s="1" t="e">
        <f t="shared" si="35"/>
        <v>#DIV/0!</v>
      </c>
      <c r="M74" s="1"/>
    </row>
    <row r="75" spans="2:13" ht="12.75">
      <c r="B75" t="str">
        <f t="shared" si="33"/>
        <v>H2S</v>
      </c>
      <c r="C75" s="1">
        <f aca="true" t="shared" si="37" ref="C75:H75">C55-Ngas*C14</f>
        <v>0</v>
      </c>
      <c r="D75" s="1">
        <f t="shared" si="37"/>
        <v>0</v>
      </c>
      <c r="E75" s="1">
        <f t="shared" si="37"/>
        <v>0</v>
      </c>
      <c r="F75" s="1">
        <f t="shared" si="37"/>
        <v>0</v>
      </c>
      <c r="G75" s="1">
        <f t="shared" si="37"/>
        <v>0</v>
      </c>
      <c r="H75" s="1">
        <f t="shared" si="37"/>
        <v>0</v>
      </c>
      <c r="I75" s="1">
        <f t="shared" si="35"/>
        <v>0</v>
      </c>
      <c r="J75" s="1" t="e">
        <f t="shared" si="35"/>
        <v>#DIV/0!</v>
      </c>
      <c r="K75" s="1" t="e">
        <f t="shared" si="35"/>
        <v>#DIV/0!</v>
      </c>
      <c r="L75" s="1" t="e">
        <f t="shared" si="35"/>
        <v>#DIV/0!</v>
      </c>
      <c r="M75" s="1"/>
    </row>
    <row r="76" spans="2:13" ht="12.75">
      <c r="B76" t="str">
        <f t="shared" si="33"/>
        <v>C1</v>
      </c>
      <c r="C76" s="1">
        <f aca="true" t="shared" si="38" ref="C76:H76">C56-Ngas*C15</f>
        <v>0</v>
      </c>
      <c r="D76" s="1">
        <f t="shared" si="38"/>
        <v>5.404461322643492</v>
      </c>
      <c r="E76" s="1">
        <f t="shared" si="38"/>
        <v>5.931705823930308</v>
      </c>
      <c r="F76" s="1">
        <f t="shared" si="38"/>
        <v>4.802838775877525</v>
      </c>
      <c r="G76" s="1">
        <f t="shared" si="38"/>
        <v>3.0672898464725726</v>
      </c>
      <c r="H76" s="1">
        <f t="shared" si="38"/>
        <v>1.0109172301572187</v>
      </c>
      <c r="I76" s="1">
        <f t="shared" si="35"/>
        <v>0.7804946970656906</v>
      </c>
      <c r="J76" s="1" t="e">
        <f t="shared" si="35"/>
        <v>#DIV/0!</v>
      </c>
      <c r="K76" s="1" t="e">
        <f t="shared" si="35"/>
        <v>#DIV/0!</v>
      </c>
      <c r="L76" s="1" t="e">
        <f t="shared" si="35"/>
        <v>#DIV/0!</v>
      </c>
      <c r="M76" s="1"/>
    </row>
    <row r="77" spans="2:13" ht="12.75">
      <c r="B77" t="str">
        <f t="shared" si="33"/>
        <v>C2</v>
      </c>
      <c r="C77" s="1">
        <f aca="true" t="shared" si="39" ref="C77:H77">C57-Ngas*C16</f>
        <v>0</v>
      </c>
      <c r="D77" s="1">
        <f t="shared" si="39"/>
        <v>0.751069144298457</v>
      </c>
      <c r="E77" s="1">
        <f t="shared" si="39"/>
        <v>0.9377722003975189</v>
      </c>
      <c r="F77" s="1">
        <f t="shared" si="39"/>
        <v>0.7631699136300907</v>
      </c>
      <c r="G77" s="1">
        <f t="shared" si="39"/>
        <v>0.5420287459131279</v>
      </c>
      <c r="H77" s="1">
        <f t="shared" si="39"/>
        <v>0.26776376132916435</v>
      </c>
      <c r="I77" s="1">
        <f t="shared" si="35"/>
        <v>0.04430518993009609</v>
      </c>
      <c r="J77" s="1" t="e">
        <f t="shared" si="35"/>
        <v>#DIV/0!</v>
      </c>
      <c r="K77" s="1" t="e">
        <f t="shared" si="35"/>
        <v>#DIV/0!</v>
      </c>
      <c r="L77" s="1" t="e">
        <f t="shared" si="35"/>
        <v>#DIV/0!</v>
      </c>
      <c r="M77" s="1"/>
    </row>
    <row r="78" spans="2:13" ht="12.75">
      <c r="B78" t="str">
        <f t="shared" si="33"/>
        <v>C3</v>
      </c>
      <c r="C78" s="1">
        <f aca="true" t="shared" si="40" ref="C78:H78">C58-Ngas*C17</f>
        <v>0</v>
      </c>
      <c r="D78" s="1">
        <f t="shared" si="40"/>
        <v>0.9437066741549547</v>
      </c>
      <c r="E78" s="1">
        <f t="shared" si="40"/>
        <v>1.1582980080928031</v>
      </c>
      <c r="F78" s="1">
        <f t="shared" si="40"/>
        <v>1.1252356576030573</v>
      </c>
      <c r="G78" s="1">
        <f t="shared" si="40"/>
        <v>0.996370508722116</v>
      </c>
      <c r="H78" s="1">
        <f t="shared" si="40"/>
        <v>0.5771131428998852</v>
      </c>
      <c r="I78" s="1">
        <f t="shared" si="35"/>
        <v>0.07731679847929922</v>
      </c>
      <c r="J78" s="1" t="e">
        <f t="shared" si="35"/>
        <v>#DIV/0!</v>
      </c>
      <c r="K78" s="1" t="e">
        <f t="shared" si="35"/>
        <v>#DIV/0!</v>
      </c>
      <c r="L78" s="1" t="e">
        <f t="shared" si="35"/>
        <v>#DIV/0!</v>
      </c>
      <c r="M78" s="1"/>
    </row>
    <row r="79" spans="2:13" ht="12.75">
      <c r="B79" t="str">
        <f t="shared" si="33"/>
        <v>iC4</v>
      </c>
      <c r="C79" s="1">
        <f aca="true" t="shared" si="41" ref="C79:H79">C59-Ngas*C18</f>
        <v>0</v>
      </c>
      <c r="D79" s="1">
        <f t="shared" si="41"/>
        <v>0.23647276164551578</v>
      </c>
      <c r="E79" s="1">
        <f t="shared" si="41"/>
        <v>0.31154656148558024</v>
      </c>
      <c r="F79" s="1">
        <f t="shared" si="41"/>
        <v>0.31238832900845637</v>
      </c>
      <c r="G79" s="1">
        <f t="shared" si="41"/>
        <v>0.2754314285722322</v>
      </c>
      <c r="H79" s="1">
        <f t="shared" si="41"/>
        <v>0.18548621327047699</v>
      </c>
      <c r="I79" s="1">
        <f t="shared" si="35"/>
        <v>0.016634029848261504</v>
      </c>
      <c r="J79" s="1" t="e">
        <f t="shared" si="35"/>
        <v>#DIV/0!</v>
      </c>
      <c r="K79" s="1" t="e">
        <f t="shared" si="35"/>
        <v>#DIV/0!</v>
      </c>
      <c r="L79" s="1" t="e">
        <f t="shared" si="35"/>
        <v>#DIV/0!</v>
      </c>
      <c r="M79" s="1"/>
    </row>
    <row r="80" spans="2:13" ht="12.75">
      <c r="B80" t="str">
        <f t="shared" si="33"/>
        <v>nC4</v>
      </c>
      <c r="C80" s="1">
        <f aca="true" t="shared" si="42" ref="C80:H80">C60-Ngas*C19</f>
        <v>0</v>
      </c>
      <c r="D80" s="1">
        <f t="shared" si="42"/>
        <v>0.41562254057983283</v>
      </c>
      <c r="E80" s="1">
        <f t="shared" si="42"/>
        <v>0.5369902948315788</v>
      </c>
      <c r="F80" s="1">
        <f t="shared" si="42"/>
        <v>0.5262441409191294</v>
      </c>
      <c r="G80" s="1">
        <f t="shared" si="42"/>
        <v>0.48435949862018635</v>
      </c>
      <c r="H80" s="1">
        <f t="shared" si="42"/>
        <v>0.3318184600398945</v>
      </c>
      <c r="I80" s="1">
        <f t="shared" si="35"/>
        <v>0.053388219501713886</v>
      </c>
      <c r="J80" s="1" t="e">
        <f t="shared" si="35"/>
        <v>#DIV/0!</v>
      </c>
      <c r="K80" s="1" t="e">
        <f t="shared" si="35"/>
        <v>#DIV/0!</v>
      </c>
      <c r="L80" s="1" t="e">
        <f t="shared" si="35"/>
        <v>#DIV/0!</v>
      </c>
      <c r="M80" s="1"/>
    </row>
    <row r="81" spans="2:13" ht="12.75">
      <c r="B81" t="str">
        <f t="shared" si="33"/>
        <v>iC5</v>
      </c>
      <c r="C81" s="1">
        <f aca="true" t="shared" si="43" ref="C81:H81">C61-Ngas*C20</f>
        <v>0</v>
      </c>
      <c r="D81" s="1">
        <f t="shared" si="43"/>
        <v>0.1578714565949798</v>
      </c>
      <c r="E81" s="1">
        <f t="shared" si="43"/>
        <v>0.21015745306246542</v>
      </c>
      <c r="F81" s="1">
        <f t="shared" si="43"/>
        <v>0.23256165400163265</v>
      </c>
      <c r="G81" s="1">
        <f t="shared" si="43"/>
        <v>0.23405969996589143</v>
      </c>
      <c r="H81" s="1">
        <f t="shared" si="43"/>
        <v>0.16934312143326868</v>
      </c>
      <c r="I81" s="1">
        <f t="shared" si="35"/>
        <v>0.05441808536712267</v>
      </c>
      <c r="J81" s="1" t="e">
        <f t="shared" si="35"/>
        <v>#DIV/0!</v>
      </c>
      <c r="K81" s="1" t="e">
        <f t="shared" si="35"/>
        <v>#DIV/0!</v>
      </c>
      <c r="L81" s="1" t="e">
        <f t="shared" si="35"/>
        <v>#DIV/0!</v>
      </c>
      <c r="M81" s="1"/>
    </row>
    <row r="82" spans="2:13" ht="12.75">
      <c r="B82" t="str">
        <f t="shared" si="33"/>
        <v>nC5</v>
      </c>
      <c r="C82" s="1">
        <f aca="true" t="shared" si="44" ref="C82:H82">C62-Ngas*C21</f>
        <v>0</v>
      </c>
      <c r="D82" s="1">
        <f t="shared" si="44"/>
        <v>0.15423229542531147</v>
      </c>
      <c r="E82" s="1">
        <f t="shared" si="44"/>
        <v>0.20304460841812833</v>
      </c>
      <c r="F82" s="1">
        <f t="shared" si="44"/>
        <v>0.2248683935154268</v>
      </c>
      <c r="G82" s="1">
        <f t="shared" si="44"/>
        <v>0.22699117814024938</v>
      </c>
      <c r="H82" s="1">
        <f t="shared" si="44"/>
        <v>0.17736000995355922</v>
      </c>
      <c r="I82" s="1">
        <f t="shared" si="35"/>
        <v>0.06650332675808596</v>
      </c>
      <c r="J82" s="1" t="e">
        <f t="shared" si="35"/>
        <v>#DIV/0!</v>
      </c>
      <c r="K82" s="1" t="e">
        <f t="shared" si="35"/>
        <v>#DIV/0!</v>
      </c>
      <c r="L82" s="1" t="e">
        <f t="shared" si="35"/>
        <v>#DIV/0!</v>
      </c>
      <c r="M82" s="1"/>
    </row>
    <row r="83" spans="2:13" ht="12.75">
      <c r="B83" t="str">
        <f t="shared" si="33"/>
        <v>C6</v>
      </c>
      <c r="C83" s="1">
        <f aca="true" t="shared" si="45" ref="C83:H83">C63-Ngas*C22</f>
        <v>0</v>
      </c>
      <c r="D83" s="1">
        <f t="shared" si="45"/>
        <v>0.21905854787737222</v>
      </c>
      <c r="E83" s="1">
        <f t="shared" si="45"/>
        <v>0.31280542453154153</v>
      </c>
      <c r="F83" s="1">
        <f t="shared" si="45"/>
        <v>0.3527174451037907</v>
      </c>
      <c r="G83" s="1">
        <f t="shared" si="45"/>
        <v>0.36399460124337923</v>
      </c>
      <c r="H83" s="1">
        <f t="shared" si="45"/>
        <v>0.3245573127787991</v>
      </c>
      <c r="I83" s="1">
        <f t="shared" si="35"/>
        <v>0.18038939961707462</v>
      </c>
      <c r="J83" s="1" t="e">
        <f t="shared" si="35"/>
        <v>#DIV/0!</v>
      </c>
      <c r="K83" s="1" t="e">
        <f t="shared" si="35"/>
        <v>#DIV/0!</v>
      </c>
      <c r="L83" s="1" t="e">
        <f t="shared" si="35"/>
        <v>#DIV/0!</v>
      </c>
      <c r="M83" s="1"/>
    </row>
    <row r="84" spans="2:13" ht="12.75">
      <c r="B84" t="str">
        <f t="shared" si="33"/>
        <v>C7</v>
      </c>
      <c r="C84" s="1">
        <f aca="true" t="shared" si="46" ref="C84:L84">C64-Ngas*C23</f>
        <v>0</v>
      </c>
      <c r="D84" s="1">
        <f t="shared" si="46"/>
        <v>0</v>
      </c>
      <c r="E84" s="1">
        <f t="shared" si="46"/>
        <v>0</v>
      </c>
      <c r="F84" s="1">
        <f t="shared" si="46"/>
        <v>0</v>
      </c>
      <c r="G84" s="1">
        <f t="shared" si="46"/>
        <v>0</v>
      </c>
      <c r="H84" s="1">
        <f t="shared" si="46"/>
        <v>0</v>
      </c>
      <c r="I84" s="1">
        <f t="shared" si="46"/>
        <v>0</v>
      </c>
      <c r="J84" s="1" t="e">
        <f t="shared" si="46"/>
        <v>#DIV/0!</v>
      </c>
      <c r="K84" s="1" t="e">
        <f t="shared" si="46"/>
        <v>#DIV/0!</v>
      </c>
      <c r="L84" s="1" t="e">
        <f t="shared" si="46"/>
        <v>#DIV/0!</v>
      </c>
      <c r="M84" s="1"/>
    </row>
    <row r="85" spans="2:13" ht="12.75">
      <c r="B85" t="str">
        <f t="shared" si="33"/>
        <v>C8</v>
      </c>
      <c r="C85" s="1">
        <f aca="true" t="shared" si="47" ref="C85:L85">C65-Ngas*C24</f>
        <v>0</v>
      </c>
      <c r="D85" s="1">
        <f t="shared" si="47"/>
        <v>0</v>
      </c>
      <c r="E85" s="1">
        <f t="shared" si="47"/>
        <v>0</v>
      </c>
      <c r="F85" s="1">
        <f t="shared" si="47"/>
        <v>0</v>
      </c>
      <c r="G85" s="1">
        <f t="shared" si="47"/>
        <v>0</v>
      </c>
      <c r="H85" s="1">
        <f t="shared" si="47"/>
        <v>0</v>
      </c>
      <c r="I85" s="1">
        <f t="shared" si="47"/>
        <v>0</v>
      </c>
      <c r="J85" s="1" t="e">
        <f t="shared" si="47"/>
        <v>#DIV/0!</v>
      </c>
      <c r="K85" s="1" t="e">
        <f t="shared" si="47"/>
        <v>#DIV/0!</v>
      </c>
      <c r="L85" s="1" t="e">
        <f t="shared" si="47"/>
        <v>#DIV/0!</v>
      </c>
      <c r="M85" s="1"/>
    </row>
    <row r="86" spans="2:13" ht="12.75">
      <c r="B86" t="str">
        <f t="shared" si="33"/>
        <v>C9</v>
      </c>
      <c r="C86" s="1">
        <f aca="true" t="shared" si="48" ref="C86:L86">C66-Ngas*C25</f>
        <v>0</v>
      </c>
      <c r="D86" s="1">
        <f t="shared" si="48"/>
        <v>0</v>
      </c>
      <c r="E86" s="1">
        <f t="shared" si="48"/>
        <v>0</v>
      </c>
      <c r="F86" s="1">
        <f t="shared" si="48"/>
        <v>0</v>
      </c>
      <c r="G86" s="1">
        <f t="shared" si="48"/>
        <v>0</v>
      </c>
      <c r="H86" s="1">
        <f t="shared" si="48"/>
        <v>0</v>
      </c>
      <c r="I86" s="1">
        <f t="shared" si="48"/>
        <v>0</v>
      </c>
      <c r="J86" s="1" t="e">
        <f t="shared" si="48"/>
        <v>#DIV/0!</v>
      </c>
      <c r="K86" s="1" t="e">
        <f t="shared" si="48"/>
        <v>#DIV/0!</v>
      </c>
      <c r="L86" s="1" t="e">
        <f t="shared" si="48"/>
        <v>#DIV/0!</v>
      </c>
      <c r="M86" s="1"/>
    </row>
    <row r="87" spans="2:13" ht="12.75">
      <c r="B87" t="str">
        <f t="shared" si="33"/>
        <v>C10</v>
      </c>
      <c r="C87" s="1">
        <f aca="true" t="shared" si="49" ref="C87:L87">C67-Ngas*C26</f>
        <v>0</v>
      </c>
      <c r="D87" s="1">
        <f t="shared" si="49"/>
        <v>0</v>
      </c>
      <c r="E87" s="1">
        <f t="shared" si="49"/>
        <v>0</v>
      </c>
      <c r="F87" s="1">
        <f t="shared" si="49"/>
        <v>0</v>
      </c>
      <c r="G87" s="1">
        <f t="shared" si="49"/>
        <v>0</v>
      </c>
      <c r="H87" s="1">
        <f t="shared" si="49"/>
        <v>0</v>
      </c>
      <c r="I87" s="1">
        <f t="shared" si="49"/>
        <v>0</v>
      </c>
      <c r="J87" s="1" t="e">
        <f t="shared" si="49"/>
        <v>#DIV/0!</v>
      </c>
      <c r="K87" s="1" t="e">
        <f t="shared" si="49"/>
        <v>#DIV/0!</v>
      </c>
      <c r="L87" s="1" t="e">
        <f t="shared" si="49"/>
        <v>#DIV/0!</v>
      </c>
      <c r="M87" s="1"/>
    </row>
    <row r="88" spans="2:13" ht="12.75">
      <c r="B88" t="str">
        <f t="shared" si="33"/>
        <v>C11</v>
      </c>
      <c r="C88" s="1">
        <f aca="true" t="shared" si="50" ref="C88:L88">C68-Ngas*C27</f>
        <v>0</v>
      </c>
      <c r="D88" s="1">
        <f t="shared" si="50"/>
        <v>0</v>
      </c>
      <c r="E88" s="1">
        <f t="shared" si="50"/>
        <v>0</v>
      </c>
      <c r="F88" s="1">
        <f t="shared" si="50"/>
        <v>0</v>
      </c>
      <c r="G88" s="1">
        <f t="shared" si="50"/>
        <v>0</v>
      </c>
      <c r="H88" s="1">
        <f t="shared" si="50"/>
        <v>0</v>
      </c>
      <c r="I88" s="1">
        <f t="shared" si="50"/>
        <v>0</v>
      </c>
      <c r="J88" s="1" t="e">
        <f t="shared" si="50"/>
        <v>#DIV/0!</v>
      </c>
      <c r="K88" s="1" t="e">
        <f t="shared" si="50"/>
        <v>#DIV/0!</v>
      </c>
      <c r="L88" s="1" t="e">
        <f t="shared" si="50"/>
        <v>#DIV/0!</v>
      </c>
      <c r="M88" s="1"/>
    </row>
    <row r="89" spans="2:13" ht="13.5" thickBot="1">
      <c r="B89" t="str">
        <f t="shared" si="33"/>
        <v>C7+</v>
      </c>
      <c r="C89" s="1">
        <f aca="true" t="shared" si="51" ref="C89:H89">C69-Ngas*C28</f>
        <v>0</v>
      </c>
      <c r="D89" s="1">
        <f t="shared" si="51"/>
        <v>4.110753788611094</v>
      </c>
      <c r="E89" s="1">
        <f t="shared" si="51"/>
        <v>6.066035345879393</v>
      </c>
      <c r="F89" s="1">
        <f t="shared" si="51"/>
        <v>6.860244658016912</v>
      </c>
      <c r="G89" s="1">
        <f t="shared" si="51"/>
        <v>7.088402405698235</v>
      </c>
      <c r="H89" s="1">
        <f t="shared" si="51"/>
        <v>7.022600923762622</v>
      </c>
      <c r="I89" s="1">
        <f>I69-Ngas*I28</f>
        <v>4.557412593624313</v>
      </c>
      <c r="J89" s="1" t="e">
        <f>J69-Ngas*J28</f>
        <v>#DIV/0!</v>
      </c>
      <c r="K89" s="1" t="e">
        <f>K69-Ngas*K28</f>
        <v>#DIV/0!</v>
      </c>
      <c r="L89" s="1" t="e">
        <f>L69-Ngas*L28</f>
        <v>#DIV/0!</v>
      </c>
      <c r="M89" s="1"/>
    </row>
    <row r="90" ht="12.75">
      <c r="N90" s="64" t="s">
        <v>99</v>
      </c>
    </row>
    <row r="91" spans="2:14" ht="12.75">
      <c r="B91" t="s">
        <v>48</v>
      </c>
      <c r="C91" s="1">
        <f aca="true" t="shared" si="52" ref="C91:L91">SUM(C73:C89)</f>
        <v>0</v>
      </c>
      <c r="D91" s="1">
        <f t="shared" si="52"/>
        <v>12.609932074372491</v>
      </c>
      <c r="E91" s="1">
        <f t="shared" si="52"/>
        <v>15.91159052322908</v>
      </c>
      <c r="F91" s="1">
        <f t="shared" si="52"/>
        <v>15.403648492452017</v>
      </c>
      <c r="G91" s="1">
        <f t="shared" si="52"/>
        <v>13.420986184708948</v>
      </c>
      <c r="H91" s="1">
        <f t="shared" si="52"/>
        <v>10.13094498866924</v>
      </c>
      <c r="I91" s="1">
        <f t="shared" si="52"/>
        <v>5.879901872639957</v>
      </c>
      <c r="J91" s="1" t="e">
        <f t="shared" si="52"/>
        <v>#DIV/0!</v>
      </c>
      <c r="K91" s="1" t="e">
        <f t="shared" si="52"/>
        <v>#DIV/0!</v>
      </c>
      <c r="L91" s="1" t="e">
        <f t="shared" si="52"/>
        <v>#DIV/0!</v>
      </c>
      <c r="M91" s="1"/>
      <c r="N91" s="38" t="s">
        <v>100</v>
      </c>
    </row>
    <row r="92" spans="3:1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 t="s">
        <v>101</v>
      </c>
    </row>
    <row r="93" spans="1:14" ht="12.75">
      <c r="A93" t="s">
        <v>51</v>
      </c>
      <c r="C93" s="1"/>
      <c r="D93" s="7" t="e">
        <f aca="true" t="shared" si="53" ref="D93:L93">(Mliq*100-SUMPRODUCT(D73:D83,Mwref))/D89</f>
        <v>#VALUE!</v>
      </c>
      <c r="E93" s="7" t="e">
        <f t="shared" si="53"/>
        <v>#VALUE!</v>
      </c>
      <c r="F93" s="7" t="e">
        <f t="shared" si="53"/>
        <v>#VALUE!</v>
      </c>
      <c r="G93" s="7" t="e">
        <f t="shared" si="53"/>
        <v>#VALUE!</v>
      </c>
      <c r="H93" s="7" t="e">
        <f t="shared" si="53"/>
        <v>#VALUE!</v>
      </c>
      <c r="I93" s="63" t="e">
        <f t="shared" si="53"/>
        <v>#VALUE!</v>
      </c>
      <c r="J93" s="7" t="e">
        <f t="shared" si="53"/>
        <v>#DIV/0!</v>
      </c>
      <c r="K93" s="7" t="e">
        <f t="shared" si="53"/>
        <v>#DIV/0!</v>
      </c>
      <c r="L93" s="7" t="e">
        <f t="shared" si="53"/>
        <v>#DIV/0!</v>
      </c>
      <c r="M93" s="7"/>
      <c r="N93" s="65">
        <f>'CVD Data'!N35</f>
        <v>189.3</v>
      </c>
    </row>
    <row r="94" spans="3:14" ht="13.5" thickBo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</row>
    <row r="95" spans="2:14" ht="12.75">
      <c r="B95" s="119" t="s">
        <v>98</v>
      </c>
      <c r="C95" s="120"/>
      <c r="D95" s="120"/>
      <c r="E95" s="120"/>
      <c r="F95" s="120"/>
      <c r="G95" s="120"/>
      <c r="H95" s="120"/>
      <c r="I95" s="126"/>
      <c r="J95" s="11"/>
      <c r="K95" s="11"/>
      <c r="L95" s="12"/>
      <c r="M95" s="13"/>
      <c r="N95" s="38"/>
    </row>
    <row r="96" spans="2:14" ht="12.75">
      <c r="B96" s="121" t="str">
        <f aca="true" t="shared" si="54" ref="B96:B112">B12</f>
        <v>N2</v>
      </c>
      <c r="C96" s="122"/>
      <c r="D96" s="123">
        <f aca="true" t="shared" si="55" ref="D96:L96">100*D73/D$91</f>
        <v>0.3098048004604546</v>
      </c>
      <c r="E96" s="123">
        <f t="shared" si="55"/>
        <v>0.19559855550932143</v>
      </c>
      <c r="F96" s="123">
        <f t="shared" si="55"/>
        <v>0.15116569216887243</v>
      </c>
      <c r="G96" s="123">
        <f t="shared" si="55"/>
        <v>0.1255820430265206</v>
      </c>
      <c r="H96" s="123">
        <f t="shared" si="55"/>
        <v>0.05430697423936862</v>
      </c>
      <c r="I96" s="123">
        <f t="shared" si="55"/>
        <v>0.10318197046067223</v>
      </c>
      <c r="J96" s="123" t="e">
        <f t="shared" si="55"/>
        <v>#DIV/0!</v>
      </c>
      <c r="K96" s="123" t="e">
        <f t="shared" si="55"/>
        <v>#DIV/0!</v>
      </c>
      <c r="L96" s="128" t="e">
        <f t="shared" si="55"/>
        <v>#DIV/0!</v>
      </c>
      <c r="M96" s="54"/>
      <c r="N96" s="66">
        <f>'CVD Data'!N17</f>
        <v>0</v>
      </c>
    </row>
    <row r="97" spans="2:14" ht="12.75">
      <c r="B97" s="121" t="str">
        <f t="shared" si="54"/>
        <v>CO2</v>
      </c>
      <c r="C97" s="122"/>
      <c r="D97" s="123">
        <f aca="true" t="shared" si="56" ref="D97:L97">100*D74/D$91</f>
        <v>1.408551343438635</v>
      </c>
      <c r="E97" s="123">
        <f t="shared" si="56"/>
        <v>1.3330657363769678</v>
      </c>
      <c r="F97" s="123">
        <f t="shared" si="56"/>
        <v>1.169167765684673</v>
      </c>
      <c r="G97" s="123">
        <f t="shared" si="56"/>
        <v>0.9328965918953276</v>
      </c>
      <c r="H97" s="123">
        <f t="shared" si="56"/>
        <v>0.5772709596642716</v>
      </c>
      <c r="I97" s="123">
        <f t="shared" si="56"/>
        <v>0.7308376018129433</v>
      </c>
      <c r="J97" s="123" t="e">
        <f t="shared" si="56"/>
        <v>#DIV/0!</v>
      </c>
      <c r="K97" s="123" t="e">
        <f t="shared" si="56"/>
        <v>#DIV/0!</v>
      </c>
      <c r="L97" s="128" t="e">
        <f t="shared" si="56"/>
        <v>#DIV/0!</v>
      </c>
      <c r="M97" s="54"/>
      <c r="N97" s="66">
        <f>'CVD Data'!N18</f>
        <v>0</v>
      </c>
    </row>
    <row r="98" spans="2:14" ht="12.75">
      <c r="B98" s="121" t="str">
        <f t="shared" si="54"/>
        <v>H2S</v>
      </c>
      <c r="C98" s="122"/>
      <c r="D98" s="123">
        <f aca="true" t="shared" si="57" ref="D98:L98">100*D75/D$91</f>
        <v>0</v>
      </c>
      <c r="E98" s="123">
        <f t="shared" si="57"/>
        <v>0</v>
      </c>
      <c r="F98" s="123">
        <f t="shared" si="57"/>
        <v>0</v>
      </c>
      <c r="G98" s="123">
        <f t="shared" si="57"/>
        <v>0</v>
      </c>
      <c r="H98" s="123">
        <f t="shared" si="57"/>
        <v>0</v>
      </c>
      <c r="I98" s="123">
        <f t="shared" si="57"/>
        <v>0</v>
      </c>
      <c r="J98" s="123" t="e">
        <f t="shared" si="57"/>
        <v>#DIV/0!</v>
      </c>
      <c r="K98" s="123" t="e">
        <f t="shared" si="57"/>
        <v>#DIV/0!</v>
      </c>
      <c r="L98" s="128" t="e">
        <f t="shared" si="57"/>
        <v>#DIV/0!</v>
      </c>
      <c r="M98" s="54"/>
      <c r="N98" s="66">
        <f>'CVD Data'!N19</f>
        <v>0</v>
      </c>
    </row>
    <row r="99" spans="2:14" ht="12.75">
      <c r="B99" s="121" t="str">
        <f t="shared" si="54"/>
        <v>C1</v>
      </c>
      <c r="C99" s="122"/>
      <c r="D99" s="123">
        <f aca="true" t="shared" si="58" ref="D99:L99">100*D76/D$91</f>
        <v>42.8587663340957</v>
      </c>
      <c r="E99" s="123">
        <f t="shared" si="58"/>
        <v>37.27915078804161</v>
      </c>
      <c r="F99" s="123">
        <f t="shared" si="58"/>
        <v>31.179877794737894</v>
      </c>
      <c r="G99" s="123">
        <f t="shared" si="58"/>
        <v>22.854429654113314</v>
      </c>
      <c r="H99" s="123">
        <f t="shared" si="58"/>
        <v>9.978508730309557</v>
      </c>
      <c r="I99" s="123">
        <f t="shared" si="58"/>
        <v>13.273940857711361</v>
      </c>
      <c r="J99" s="123" t="e">
        <f t="shared" si="58"/>
        <v>#DIV/0!</v>
      </c>
      <c r="K99" s="123" t="e">
        <f t="shared" si="58"/>
        <v>#DIV/0!</v>
      </c>
      <c r="L99" s="128" t="e">
        <f t="shared" si="58"/>
        <v>#DIV/0!</v>
      </c>
      <c r="M99" s="54"/>
      <c r="N99" s="66">
        <f>'CVD Data'!N20</f>
        <v>0.002</v>
      </c>
    </row>
    <row r="100" spans="2:14" ht="12.75">
      <c r="B100" s="121" t="str">
        <f t="shared" si="54"/>
        <v>C2</v>
      </c>
      <c r="C100" s="122"/>
      <c r="D100" s="123">
        <f aca="true" t="shared" si="59" ref="D100:L100">100*D77/D$91</f>
        <v>5.95617121383925</v>
      </c>
      <c r="E100" s="123">
        <f t="shared" si="59"/>
        <v>5.893642115968733</v>
      </c>
      <c r="F100" s="123">
        <f t="shared" si="59"/>
        <v>4.954474999894042</v>
      </c>
      <c r="G100" s="123">
        <f t="shared" si="59"/>
        <v>4.038665552988069</v>
      </c>
      <c r="H100" s="123">
        <f t="shared" si="59"/>
        <v>2.6430284798569095</v>
      </c>
      <c r="I100" s="123">
        <f t="shared" si="59"/>
        <v>0.7535021993522479</v>
      </c>
      <c r="J100" s="123" t="e">
        <f t="shared" si="59"/>
        <v>#DIV/0!</v>
      </c>
      <c r="K100" s="123" t="e">
        <f t="shared" si="59"/>
        <v>#DIV/0!</v>
      </c>
      <c r="L100" s="128" t="e">
        <f t="shared" si="59"/>
        <v>#DIV/0!</v>
      </c>
      <c r="M100" s="54"/>
      <c r="N100" s="66">
        <f>'CVD Data'!N21</f>
        <v>0.008</v>
      </c>
    </row>
    <row r="101" spans="2:14" ht="12.75">
      <c r="B101" s="121" t="str">
        <f t="shared" si="54"/>
        <v>C3</v>
      </c>
      <c r="C101" s="122"/>
      <c r="D101" s="123">
        <f aca="true" t="shared" si="60" ref="D101:L101">100*D78/D$91</f>
        <v>7.483836301330087</v>
      </c>
      <c r="E101" s="123">
        <f t="shared" si="60"/>
        <v>7.279586578109977</v>
      </c>
      <c r="F101" s="123">
        <f t="shared" si="60"/>
        <v>7.3049943859367925</v>
      </c>
      <c r="G101" s="123">
        <f t="shared" si="60"/>
        <v>7.423973879485248</v>
      </c>
      <c r="H101" s="123">
        <f t="shared" si="60"/>
        <v>5.696538117079367</v>
      </c>
      <c r="I101" s="123">
        <f t="shared" si="60"/>
        <v>1.3149334828029289</v>
      </c>
      <c r="J101" s="123" t="e">
        <f t="shared" si="60"/>
        <v>#DIV/0!</v>
      </c>
      <c r="K101" s="123" t="e">
        <f t="shared" si="60"/>
        <v>#DIV/0!</v>
      </c>
      <c r="L101" s="128" t="e">
        <f t="shared" si="60"/>
        <v>#DIV/0!</v>
      </c>
      <c r="M101" s="54"/>
      <c r="N101" s="66">
        <f>'CVD Data'!N22</f>
        <v>0.154</v>
      </c>
    </row>
    <row r="102" spans="2:14" ht="12.75">
      <c r="B102" s="121" t="str">
        <f t="shared" si="54"/>
        <v>iC4</v>
      </c>
      <c r="C102" s="122"/>
      <c r="D102" s="123">
        <f aca="true" t="shared" si="61" ref="D102:L102">100*D79/D$91</f>
        <v>1.8752897339241488</v>
      </c>
      <c r="E102" s="123">
        <f t="shared" si="61"/>
        <v>1.9579850363215314</v>
      </c>
      <c r="F102" s="123">
        <f t="shared" si="61"/>
        <v>2.0280151755055345</v>
      </c>
      <c r="G102" s="123">
        <f t="shared" si="61"/>
        <v>2.0522443342206995</v>
      </c>
      <c r="H102" s="123">
        <f t="shared" si="61"/>
        <v>1.8308875773970785</v>
      </c>
      <c r="I102" s="123">
        <f t="shared" si="61"/>
        <v>0.2828963851533318</v>
      </c>
      <c r="J102" s="123" t="e">
        <f t="shared" si="61"/>
        <v>#DIV/0!</v>
      </c>
      <c r="K102" s="123" t="e">
        <f t="shared" si="61"/>
        <v>#DIV/0!</v>
      </c>
      <c r="L102" s="128" t="e">
        <f t="shared" si="61"/>
        <v>#DIV/0!</v>
      </c>
      <c r="M102" s="54"/>
      <c r="N102" s="66">
        <f>'CVD Data'!N23</f>
        <v>0.188</v>
      </c>
    </row>
    <row r="103" spans="2:14" ht="12.75">
      <c r="B103" s="121" t="str">
        <f t="shared" si="54"/>
        <v>nC4</v>
      </c>
      <c r="C103" s="122"/>
      <c r="D103" s="123">
        <f aca="true" t="shared" si="62" ref="D103:L103">100*D80/D$91</f>
        <v>3.2959934924987726</v>
      </c>
      <c r="E103" s="123">
        <f t="shared" si="62"/>
        <v>3.3748373177881565</v>
      </c>
      <c r="F103" s="123">
        <f t="shared" si="62"/>
        <v>3.4163603588915685</v>
      </c>
      <c r="G103" s="123">
        <f t="shared" si="62"/>
        <v>3.6089709947845408</v>
      </c>
      <c r="H103" s="123">
        <f t="shared" si="62"/>
        <v>3.2752962375277965</v>
      </c>
      <c r="I103" s="123">
        <f t="shared" si="62"/>
        <v>0.9079780693303247</v>
      </c>
      <c r="J103" s="123" t="e">
        <f t="shared" si="62"/>
        <v>#DIV/0!</v>
      </c>
      <c r="K103" s="123" t="e">
        <f t="shared" si="62"/>
        <v>#DIV/0!</v>
      </c>
      <c r="L103" s="128" t="e">
        <f t="shared" si="62"/>
        <v>#DIV/0!</v>
      </c>
      <c r="M103" s="54"/>
      <c r="N103" s="66">
        <f>'CVD Data'!N24</f>
        <v>0.608</v>
      </c>
    </row>
    <row r="104" spans="2:14" ht="12.75">
      <c r="B104" s="121" t="str">
        <f t="shared" si="54"/>
        <v>iC5</v>
      </c>
      <c r="C104" s="122"/>
      <c r="D104" s="123">
        <f aca="true" t="shared" si="63" ref="D104:L104">100*D81/D$91</f>
        <v>1.2519611974423421</v>
      </c>
      <c r="E104" s="123">
        <f t="shared" si="63"/>
        <v>1.320782185512252</v>
      </c>
      <c r="F104" s="123">
        <f t="shared" si="63"/>
        <v>1.5097829200373587</v>
      </c>
      <c r="G104" s="123">
        <f t="shared" si="63"/>
        <v>1.743982869400199</v>
      </c>
      <c r="H104" s="123">
        <f t="shared" si="63"/>
        <v>1.6715431938744827</v>
      </c>
      <c r="I104" s="123">
        <f t="shared" si="63"/>
        <v>0.9254930872288529</v>
      </c>
      <c r="J104" s="123" t="e">
        <f t="shared" si="63"/>
        <v>#DIV/0!</v>
      </c>
      <c r="K104" s="123" t="e">
        <f t="shared" si="63"/>
        <v>#DIV/0!</v>
      </c>
      <c r="L104" s="128" t="e">
        <f t="shared" si="63"/>
        <v>#DIV/0!</v>
      </c>
      <c r="M104" s="54"/>
      <c r="N104" s="66">
        <f>'CVD Data'!N25</f>
        <v>0.839</v>
      </c>
    </row>
    <row r="105" spans="2:14" ht="12.75">
      <c r="B105" s="121" t="str">
        <f t="shared" si="54"/>
        <v>nC5</v>
      </c>
      <c r="C105" s="122"/>
      <c r="D105" s="123">
        <f aca="true" t="shared" si="64" ref="D105:L105">100*D82/D$91</f>
        <v>1.2231017147091694</v>
      </c>
      <c r="E105" s="123">
        <f t="shared" si="64"/>
        <v>1.2760798998799443</v>
      </c>
      <c r="F105" s="123">
        <f t="shared" si="64"/>
        <v>1.4598385156972076</v>
      </c>
      <c r="G105" s="123">
        <f t="shared" si="64"/>
        <v>1.6913151911211208</v>
      </c>
      <c r="H105" s="123">
        <f t="shared" si="64"/>
        <v>1.750675876257586</v>
      </c>
      <c r="I105" s="123">
        <f t="shared" si="64"/>
        <v>1.1310278334326573</v>
      </c>
      <c r="J105" s="123" t="e">
        <f t="shared" si="64"/>
        <v>#DIV/0!</v>
      </c>
      <c r="K105" s="123" t="e">
        <f t="shared" si="64"/>
        <v>#DIV/0!</v>
      </c>
      <c r="L105" s="128" t="e">
        <f t="shared" si="64"/>
        <v>#DIV/0!</v>
      </c>
      <c r="M105" s="54"/>
      <c r="N105" s="66">
        <f>'CVD Data'!N26</f>
        <v>1.099</v>
      </c>
    </row>
    <row r="106" spans="2:14" ht="12.75">
      <c r="B106" s="121" t="str">
        <f t="shared" si="54"/>
        <v>C6</v>
      </c>
      <c r="C106" s="122"/>
      <c r="D106" s="123">
        <f aca="true" t="shared" si="65" ref="D106:L106">100*D83/D$91</f>
        <v>1.7371905461931147</v>
      </c>
      <c r="E106" s="123">
        <f t="shared" si="65"/>
        <v>1.9658966466921195</v>
      </c>
      <c r="F106" s="123">
        <f t="shared" si="65"/>
        <v>2.2898305247398154</v>
      </c>
      <c r="G106" s="123">
        <f t="shared" si="65"/>
        <v>2.7121300643174227</v>
      </c>
      <c r="H106" s="123">
        <f t="shared" si="65"/>
        <v>3.2036232862955427</v>
      </c>
      <c r="I106" s="123">
        <f t="shared" si="65"/>
        <v>3.0678981303489583</v>
      </c>
      <c r="J106" s="123" t="e">
        <f t="shared" si="65"/>
        <v>#DIV/0!</v>
      </c>
      <c r="K106" s="123" t="e">
        <f t="shared" si="65"/>
        <v>#DIV/0!</v>
      </c>
      <c r="L106" s="128" t="e">
        <f t="shared" si="65"/>
        <v>#DIV/0!</v>
      </c>
      <c r="M106" s="54"/>
      <c r="N106" s="66">
        <f>'CVD Data'!N27</f>
        <v>3.234</v>
      </c>
    </row>
    <row r="107" spans="2:14" ht="12.75">
      <c r="B107" s="121" t="str">
        <f t="shared" si="54"/>
        <v>C7</v>
      </c>
      <c r="C107" s="122"/>
      <c r="D107" s="123">
        <f aca="true" t="shared" si="66" ref="D107:L107">100*D84/D$91</f>
        <v>0</v>
      </c>
      <c r="E107" s="123">
        <f t="shared" si="66"/>
        <v>0</v>
      </c>
      <c r="F107" s="123">
        <f t="shared" si="66"/>
        <v>0</v>
      </c>
      <c r="G107" s="123">
        <f t="shared" si="66"/>
        <v>0</v>
      </c>
      <c r="H107" s="123">
        <f t="shared" si="66"/>
        <v>0</v>
      </c>
      <c r="I107" s="123">
        <f t="shared" si="66"/>
        <v>0</v>
      </c>
      <c r="J107" s="123" t="e">
        <f t="shared" si="66"/>
        <v>#DIV/0!</v>
      </c>
      <c r="K107" s="123" t="e">
        <f t="shared" si="66"/>
        <v>#DIV/0!</v>
      </c>
      <c r="L107" s="128" t="e">
        <f t="shared" si="66"/>
        <v>#DIV/0!</v>
      </c>
      <c r="M107" s="54"/>
      <c r="N107" s="66">
        <f>'CVD Data'!N28</f>
        <v>0</v>
      </c>
    </row>
    <row r="108" spans="2:14" ht="12.75">
      <c r="B108" s="121" t="str">
        <f t="shared" si="54"/>
        <v>C8</v>
      </c>
      <c r="C108" s="122"/>
      <c r="D108" s="123">
        <f aca="true" t="shared" si="67" ref="D108:L108">100*D85/D$91</f>
        <v>0</v>
      </c>
      <c r="E108" s="123">
        <f t="shared" si="67"/>
        <v>0</v>
      </c>
      <c r="F108" s="123">
        <f t="shared" si="67"/>
        <v>0</v>
      </c>
      <c r="G108" s="123">
        <f t="shared" si="67"/>
        <v>0</v>
      </c>
      <c r="H108" s="123">
        <f t="shared" si="67"/>
        <v>0</v>
      </c>
      <c r="I108" s="123">
        <f t="shared" si="67"/>
        <v>0</v>
      </c>
      <c r="J108" s="123" t="e">
        <f t="shared" si="67"/>
        <v>#DIV/0!</v>
      </c>
      <c r="K108" s="123" t="e">
        <f t="shared" si="67"/>
        <v>#DIV/0!</v>
      </c>
      <c r="L108" s="128" t="e">
        <f t="shared" si="67"/>
        <v>#DIV/0!</v>
      </c>
      <c r="M108" s="54"/>
      <c r="N108" s="66">
        <f>'CVD Data'!N29</f>
        <v>0</v>
      </c>
    </row>
    <row r="109" spans="2:14" ht="12.75">
      <c r="B109" s="121" t="str">
        <f t="shared" si="54"/>
        <v>C9</v>
      </c>
      <c r="C109" s="122"/>
      <c r="D109" s="123">
        <f aca="true" t="shared" si="68" ref="D109:L109">100*D86/D$91</f>
        <v>0</v>
      </c>
      <c r="E109" s="123">
        <f t="shared" si="68"/>
        <v>0</v>
      </c>
      <c r="F109" s="123">
        <f t="shared" si="68"/>
        <v>0</v>
      </c>
      <c r="G109" s="123">
        <f t="shared" si="68"/>
        <v>0</v>
      </c>
      <c r="H109" s="123">
        <f t="shared" si="68"/>
        <v>0</v>
      </c>
      <c r="I109" s="123">
        <f t="shared" si="68"/>
        <v>0</v>
      </c>
      <c r="J109" s="123" t="e">
        <f t="shared" si="68"/>
        <v>#DIV/0!</v>
      </c>
      <c r="K109" s="123" t="e">
        <f t="shared" si="68"/>
        <v>#DIV/0!</v>
      </c>
      <c r="L109" s="128" t="e">
        <f t="shared" si="68"/>
        <v>#DIV/0!</v>
      </c>
      <c r="M109" s="54"/>
      <c r="N109" s="66">
        <f>'CVD Data'!N30</f>
        <v>0</v>
      </c>
    </row>
    <row r="110" spans="2:14" ht="12.75">
      <c r="B110" s="121" t="str">
        <f t="shared" si="54"/>
        <v>C10</v>
      </c>
      <c r="C110" s="122"/>
      <c r="D110" s="123">
        <f aca="true" t="shared" si="69" ref="D110:L110">100*D87/D$91</f>
        <v>0</v>
      </c>
      <c r="E110" s="123">
        <f t="shared" si="69"/>
        <v>0</v>
      </c>
      <c r="F110" s="123">
        <f t="shared" si="69"/>
        <v>0</v>
      </c>
      <c r="G110" s="123">
        <f t="shared" si="69"/>
        <v>0</v>
      </c>
      <c r="H110" s="123">
        <f t="shared" si="69"/>
        <v>0</v>
      </c>
      <c r="I110" s="123">
        <f t="shared" si="69"/>
        <v>0</v>
      </c>
      <c r="J110" s="123" t="e">
        <f t="shared" si="69"/>
        <v>#DIV/0!</v>
      </c>
      <c r="K110" s="123" t="e">
        <f t="shared" si="69"/>
        <v>#DIV/0!</v>
      </c>
      <c r="L110" s="128" t="e">
        <f t="shared" si="69"/>
        <v>#DIV/0!</v>
      </c>
      <c r="M110" s="54"/>
      <c r="N110" s="66">
        <f>'CVD Data'!N31</f>
        <v>0</v>
      </c>
    </row>
    <row r="111" spans="2:14" ht="12.75">
      <c r="B111" s="121" t="str">
        <f t="shared" si="54"/>
        <v>C11</v>
      </c>
      <c r="C111" s="122"/>
      <c r="D111" s="123">
        <f aca="true" t="shared" si="70" ref="D111:L111">100*D88/D$91</f>
        <v>0</v>
      </c>
      <c r="E111" s="123">
        <f t="shared" si="70"/>
        <v>0</v>
      </c>
      <c r="F111" s="123">
        <f t="shared" si="70"/>
        <v>0</v>
      </c>
      <c r="G111" s="123">
        <f t="shared" si="70"/>
        <v>0</v>
      </c>
      <c r="H111" s="123">
        <f t="shared" si="70"/>
        <v>0</v>
      </c>
      <c r="I111" s="123">
        <f t="shared" si="70"/>
        <v>0</v>
      </c>
      <c r="J111" s="123" t="e">
        <f t="shared" si="70"/>
        <v>#DIV/0!</v>
      </c>
      <c r="K111" s="123" t="e">
        <f t="shared" si="70"/>
        <v>#DIV/0!</v>
      </c>
      <c r="L111" s="128" t="e">
        <f t="shared" si="70"/>
        <v>#DIV/0!</v>
      </c>
      <c r="M111" s="54"/>
      <c r="N111" s="66">
        <f>'CVD Data'!N32</f>
        <v>0</v>
      </c>
    </row>
    <row r="112" spans="2:14" ht="13.5" thickBot="1">
      <c r="B112" s="127" t="str">
        <f t="shared" si="54"/>
        <v>C7+</v>
      </c>
      <c r="C112" s="124"/>
      <c r="D112" s="125">
        <f aca="true" t="shared" si="71" ref="D112:L112">100*D89/D$91</f>
        <v>32.59933332206833</v>
      </c>
      <c r="E112" s="125">
        <f t="shared" si="71"/>
        <v>38.12337513979941</v>
      </c>
      <c r="F112" s="125">
        <f t="shared" si="71"/>
        <v>44.53649186670625</v>
      </c>
      <c r="G112" s="125">
        <f t="shared" si="71"/>
        <v>52.81580882464754</v>
      </c>
      <c r="H112" s="125">
        <f t="shared" si="71"/>
        <v>69.31832056749803</v>
      </c>
      <c r="I112" s="125">
        <f t="shared" si="71"/>
        <v>77.50831038236572</v>
      </c>
      <c r="J112" s="125" t="e">
        <f t="shared" si="71"/>
        <v>#DIV/0!</v>
      </c>
      <c r="K112" s="125" t="e">
        <f t="shared" si="71"/>
        <v>#DIV/0!</v>
      </c>
      <c r="L112" s="129" t="e">
        <f t="shared" si="71"/>
        <v>#DIV/0!</v>
      </c>
      <c r="M112" s="54"/>
      <c r="N112" s="67">
        <f>'CVD Data'!N33</f>
        <v>93.867</v>
      </c>
    </row>
    <row r="113" spans="4:13" ht="13.5" thickBot="1"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>
      <c r="B114" s="47" t="s">
        <v>50</v>
      </c>
      <c r="C114" s="11"/>
      <c r="D114" s="11"/>
      <c r="E114" s="11"/>
      <c r="F114" s="11"/>
      <c r="G114" s="11"/>
      <c r="H114" s="11"/>
      <c r="I114" s="12"/>
      <c r="J114" s="11"/>
      <c r="K114" s="11"/>
      <c r="L114" s="12"/>
      <c r="M114" s="13"/>
    </row>
    <row r="115" spans="2:13" ht="12.75">
      <c r="B115" s="13" t="str">
        <f aca="true" t="shared" si="72" ref="B115:B131">B12</f>
        <v>N2</v>
      </c>
      <c r="C115" s="14"/>
      <c r="D115" s="50">
        <f aca="true" t="shared" si="73" ref="D115:L115">D12/D96</f>
        <v>1.3072747723665332</v>
      </c>
      <c r="E115" s="50">
        <f t="shared" si="73"/>
        <v>2.213717779625244</v>
      </c>
      <c r="F115" s="50">
        <f t="shared" si="73"/>
        <v>2.9239438768039143</v>
      </c>
      <c r="G115" s="50">
        <f t="shared" si="73"/>
        <v>3.479796867994206</v>
      </c>
      <c r="H115" s="50">
        <f t="shared" si="73"/>
        <v>7.881124035994091</v>
      </c>
      <c r="I115" s="50">
        <f t="shared" si="73"/>
        <v>3.2466912436769673</v>
      </c>
      <c r="J115" s="50" t="e">
        <f t="shared" si="73"/>
        <v>#DIV/0!</v>
      </c>
      <c r="K115" s="50" t="e">
        <f t="shared" si="73"/>
        <v>#DIV/0!</v>
      </c>
      <c r="L115" s="51" t="e">
        <f t="shared" si="73"/>
        <v>#DIV/0!</v>
      </c>
      <c r="M115" s="13"/>
    </row>
    <row r="116" spans="2:13" ht="12.75">
      <c r="B116" s="13" t="str">
        <f t="shared" si="72"/>
        <v>CO2</v>
      </c>
      <c r="C116" s="14"/>
      <c r="D116" s="50">
        <f aca="true" t="shared" si="74" ref="D116:L116">D13/D97</f>
        <v>1.2984972173857305</v>
      </c>
      <c r="E116" s="50">
        <f t="shared" si="74"/>
        <v>1.3975304811773934</v>
      </c>
      <c r="F116" s="50">
        <f t="shared" si="74"/>
        <v>1.6242322579667872</v>
      </c>
      <c r="G116" s="50">
        <f t="shared" si="74"/>
        <v>2.0752568042581316</v>
      </c>
      <c r="H116" s="50">
        <f t="shared" si="74"/>
        <v>3.3693016553806387</v>
      </c>
      <c r="I116" s="50">
        <f t="shared" si="74"/>
        <v>2.2056883718095674</v>
      </c>
      <c r="J116" s="50" t="e">
        <f t="shared" si="74"/>
        <v>#DIV/0!</v>
      </c>
      <c r="K116" s="50" t="e">
        <f t="shared" si="74"/>
        <v>#DIV/0!</v>
      </c>
      <c r="L116" s="51" t="e">
        <f t="shared" si="74"/>
        <v>#DIV/0!</v>
      </c>
      <c r="M116" s="13"/>
    </row>
    <row r="117" spans="2:13" ht="12.75">
      <c r="B117" s="13" t="str">
        <f t="shared" si="72"/>
        <v>H2S</v>
      </c>
      <c r="C117" s="14"/>
      <c r="D117" s="50" t="e">
        <f aca="true" t="shared" si="75" ref="D117:L117">D14/D98</f>
        <v>#DIV/0!</v>
      </c>
      <c r="E117" s="50" t="e">
        <f t="shared" si="75"/>
        <v>#DIV/0!</v>
      </c>
      <c r="F117" s="50" t="e">
        <f t="shared" si="75"/>
        <v>#DIV/0!</v>
      </c>
      <c r="G117" s="50" t="e">
        <f t="shared" si="75"/>
        <v>#DIV/0!</v>
      </c>
      <c r="H117" s="50" t="e">
        <f t="shared" si="75"/>
        <v>#DIV/0!</v>
      </c>
      <c r="I117" s="50" t="e">
        <f t="shared" si="75"/>
        <v>#DIV/0!</v>
      </c>
      <c r="J117" s="50" t="e">
        <f t="shared" si="75"/>
        <v>#DIV/0!</v>
      </c>
      <c r="K117" s="50" t="e">
        <f t="shared" si="75"/>
        <v>#DIV/0!</v>
      </c>
      <c r="L117" s="51" t="e">
        <f t="shared" si="75"/>
        <v>#DIV/0!</v>
      </c>
      <c r="M117" s="13"/>
    </row>
    <row r="118" spans="2:13" ht="12.75">
      <c r="B118" s="13" t="str">
        <f t="shared" si="72"/>
        <v>C1</v>
      </c>
      <c r="C118" s="14"/>
      <c r="D118" s="50">
        <f aca="true" t="shared" si="76" ref="D118:L118">D15/D99</f>
        <v>1.6779064390099023</v>
      </c>
      <c r="E118" s="50">
        <f t="shared" si="76"/>
        <v>1.994117312990038</v>
      </c>
      <c r="F118" s="50">
        <f t="shared" si="76"/>
        <v>2.42265221490856</v>
      </c>
      <c r="G118" s="50">
        <f t="shared" si="76"/>
        <v>3.3275387376080414</v>
      </c>
      <c r="H118" s="50">
        <f t="shared" si="76"/>
        <v>7.488393508443813</v>
      </c>
      <c r="I118" s="50">
        <f t="shared" si="76"/>
        <v>4.529024247164327</v>
      </c>
      <c r="J118" s="50" t="e">
        <f t="shared" si="76"/>
        <v>#DIV/0!</v>
      </c>
      <c r="K118" s="50" t="e">
        <f t="shared" si="76"/>
        <v>#DIV/0!</v>
      </c>
      <c r="L118" s="51" t="e">
        <f t="shared" si="76"/>
        <v>#DIV/0!</v>
      </c>
      <c r="M118" s="13"/>
    </row>
    <row r="119" spans="2:13" ht="12.75">
      <c r="B119" s="13" t="str">
        <f t="shared" si="72"/>
        <v>C2</v>
      </c>
      <c r="C119" s="14"/>
      <c r="D119" s="50">
        <f aca="true" t="shared" si="77" ref="D119:L119">D16/D100</f>
        <v>1.205136612480483</v>
      </c>
      <c r="E119" s="50">
        <f t="shared" si="77"/>
        <v>1.229121120261526</v>
      </c>
      <c r="F119" s="50">
        <f t="shared" si="77"/>
        <v>1.5065168358220857</v>
      </c>
      <c r="G119" s="50">
        <f t="shared" si="77"/>
        <v>1.8870094341833992</v>
      </c>
      <c r="H119" s="50">
        <f t="shared" si="77"/>
        <v>2.90991945740077</v>
      </c>
      <c r="I119" s="50">
        <f t="shared" si="77"/>
        <v>9.526183209777761</v>
      </c>
      <c r="J119" s="50" t="e">
        <f t="shared" si="77"/>
        <v>#DIV/0!</v>
      </c>
      <c r="K119" s="50" t="e">
        <f t="shared" si="77"/>
        <v>#DIV/0!</v>
      </c>
      <c r="L119" s="51" t="e">
        <f t="shared" si="77"/>
        <v>#DIV/0!</v>
      </c>
      <c r="M119" s="13"/>
    </row>
    <row r="120" spans="2:13" ht="12.75">
      <c r="B120" s="13" t="str">
        <f t="shared" si="72"/>
        <v>C3</v>
      </c>
      <c r="C120" s="14"/>
      <c r="D120" s="50">
        <f aca="true" t="shared" si="78" ref="D120:L120">D17/D101</f>
        <v>0.8686721272677478</v>
      </c>
      <c r="E120" s="50">
        <f t="shared" si="78"/>
        <v>0.8930452203905069</v>
      </c>
      <c r="F120" s="50">
        <f t="shared" si="78"/>
        <v>0.889939082296271</v>
      </c>
      <c r="G120" s="50">
        <f t="shared" si="78"/>
        <v>0.8756765723495186</v>
      </c>
      <c r="H120" s="50">
        <f t="shared" si="78"/>
        <v>1.2484775584449779</v>
      </c>
      <c r="I120" s="50">
        <f t="shared" si="78"/>
        <v>6.153162959051831</v>
      </c>
      <c r="J120" s="50" t="e">
        <f t="shared" si="78"/>
        <v>#DIV/0!</v>
      </c>
      <c r="K120" s="50" t="e">
        <f t="shared" si="78"/>
        <v>#DIV/0!</v>
      </c>
      <c r="L120" s="51" t="e">
        <f t="shared" si="78"/>
        <v>#DIV/0!</v>
      </c>
      <c r="M120" s="13"/>
    </row>
    <row r="121" spans="2:13" ht="12.75">
      <c r="B121" s="13" t="str">
        <f t="shared" si="72"/>
        <v>iC4</v>
      </c>
      <c r="C121" s="14"/>
      <c r="D121" s="50">
        <f aca="true" t="shared" si="79" ref="D121:L121">D18/D102</f>
        <v>0.720955261228282</v>
      </c>
      <c r="E121" s="50">
        <f t="shared" si="79"/>
        <v>0.6700766224775935</v>
      </c>
      <c r="F121" s="50">
        <f t="shared" si="79"/>
        <v>0.6410208442725001</v>
      </c>
      <c r="G121" s="50">
        <f t="shared" si="79"/>
        <v>0.6451473530332653</v>
      </c>
      <c r="H121" s="50">
        <f t="shared" si="79"/>
        <v>0.7985198097626968</v>
      </c>
      <c r="I121" s="50">
        <f t="shared" si="79"/>
        <v>7.037912481352012</v>
      </c>
      <c r="J121" s="50" t="e">
        <f t="shared" si="79"/>
        <v>#DIV/0!</v>
      </c>
      <c r="K121" s="50" t="e">
        <f t="shared" si="79"/>
        <v>#DIV/0!</v>
      </c>
      <c r="L121" s="51" t="e">
        <f t="shared" si="79"/>
        <v>#DIV/0!</v>
      </c>
      <c r="M121" s="13"/>
    </row>
    <row r="122" spans="2:13" ht="12.75">
      <c r="B122" s="13" t="str">
        <f t="shared" si="72"/>
        <v>nC4</v>
      </c>
      <c r="C122" s="14"/>
      <c r="D122" s="50">
        <f aca="true" t="shared" si="80" ref="D122:L122">D19/D103</f>
        <v>0.6608022755375058</v>
      </c>
      <c r="E122" s="50">
        <f t="shared" si="80"/>
        <v>0.6261042536369855</v>
      </c>
      <c r="F122" s="50">
        <f t="shared" si="80"/>
        <v>0.6184944730729631</v>
      </c>
      <c r="G122" s="50">
        <f t="shared" si="80"/>
        <v>0.5854854480830063</v>
      </c>
      <c r="H122" s="50">
        <f t="shared" si="80"/>
        <v>0.7205455106501557</v>
      </c>
      <c r="I122" s="50">
        <f t="shared" si="80"/>
        <v>3.5716721686811894</v>
      </c>
      <c r="J122" s="50" t="e">
        <f t="shared" si="80"/>
        <v>#DIV/0!</v>
      </c>
      <c r="K122" s="50" t="e">
        <f t="shared" si="80"/>
        <v>#DIV/0!</v>
      </c>
      <c r="L122" s="51" t="e">
        <f t="shared" si="80"/>
        <v>#DIV/0!</v>
      </c>
      <c r="M122" s="13"/>
    </row>
    <row r="123" spans="2:13" ht="12.75">
      <c r="B123" s="13" t="str">
        <f t="shared" si="72"/>
        <v>iC5</v>
      </c>
      <c r="C123" s="14"/>
      <c r="D123" s="50">
        <f aca="true" t="shared" si="81" ref="D123:L123">D20/D104</f>
        <v>0.6389974398841888</v>
      </c>
      <c r="E123" s="50">
        <f t="shared" si="81"/>
        <v>0.5799593668072641</v>
      </c>
      <c r="F123" s="50">
        <f t="shared" si="81"/>
        <v>0.47953913797228875</v>
      </c>
      <c r="G123" s="50">
        <f t="shared" si="81"/>
        <v>0.3956460881048154</v>
      </c>
      <c r="H123" s="50">
        <f t="shared" si="81"/>
        <v>0.48757340102645225</v>
      </c>
      <c r="I123" s="50">
        <f t="shared" si="81"/>
        <v>1.3106526852966687</v>
      </c>
      <c r="J123" s="50" t="e">
        <f t="shared" si="81"/>
        <v>#DIV/0!</v>
      </c>
      <c r="K123" s="50" t="e">
        <f t="shared" si="81"/>
        <v>#DIV/0!</v>
      </c>
      <c r="L123" s="51" t="e">
        <f t="shared" si="81"/>
        <v>#DIV/0!</v>
      </c>
      <c r="M123" s="13"/>
    </row>
    <row r="124" spans="2:13" ht="12.75">
      <c r="B124" s="13" t="str">
        <f t="shared" si="72"/>
        <v>nC5</v>
      </c>
      <c r="C124" s="14"/>
      <c r="D124" s="50">
        <f aca="true" t="shared" si="82" ref="D124:L124">D21/D105</f>
        <v>0.6434460769169421</v>
      </c>
      <c r="E124" s="50">
        <f t="shared" si="82"/>
        <v>0.5932230419672152</v>
      </c>
      <c r="F124" s="50">
        <f t="shared" si="82"/>
        <v>0.490465207145219</v>
      </c>
      <c r="G124" s="50">
        <f t="shared" si="82"/>
        <v>0.40264523346981</v>
      </c>
      <c r="H124" s="50">
        <f t="shared" si="82"/>
        <v>0.4352604673053043</v>
      </c>
      <c r="I124" s="50">
        <f t="shared" si="82"/>
        <v>1.0176584218150737</v>
      </c>
      <c r="J124" s="50" t="e">
        <f t="shared" si="82"/>
        <v>#DIV/0!</v>
      </c>
      <c r="K124" s="50" t="e">
        <f t="shared" si="82"/>
        <v>#DIV/0!</v>
      </c>
      <c r="L124" s="51" t="e">
        <f t="shared" si="82"/>
        <v>#DIV/0!</v>
      </c>
      <c r="M124" s="13"/>
    </row>
    <row r="125" spans="2:13" ht="12.75">
      <c r="B125" s="13" t="str">
        <f t="shared" si="72"/>
        <v>C6</v>
      </c>
      <c r="C125" s="14"/>
      <c r="D125" s="50">
        <f aca="true" t="shared" si="83" ref="D125:L125">D22/D106</f>
        <v>0.4933252727388096</v>
      </c>
      <c r="E125" s="50">
        <f t="shared" si="83"/>
        <v>0.3921874536473264</v>
      </c>
      <c r="F125" s="50">
        <f t="shared" si="83"/>
        <v>0.3061361932362448</v>
      </c>
      <c r="G125" s="50">
        <f t="shared" si="83"/>
        <v>0.23855788057968164</v>
      </c>
      <c r="H125" s="50">
        <f t="shared" si="83"/>
        <v>0.21881474110852459</v>
      </c>
      <c r="I125" s="50">
        <f t="shared" si="83"/>
        <v>0.41331228943243015</v>
      </c>
      <c r="J125" s="50" t="e">
        <f t="shared" si="83"/>
        <v>#DIV/0!</v>
      </c>
      <c r="K125" s="50" t="e">
        <f t="shared" si="83"/>
        <v>#DIV/0!</v>
      </c>
      <c r="L125" s="51" t="e">
        <f t="shared" si="83"/>
        <v>#DIV/0!</v>
      </c>
      <c r="M125" s="13"/>
    </row>
    <row r="126" spans="2:13" ht="12.75" hidden="1">
      <c r="B126" s="13" t="str">
        <f t="shared" si="72"/>
        <v>C7</v>
      </c>
      <c r="C126" s="14"/>
      <c r="D126" s="50" t="e">
        <f aca="true" t="shared" si="84" ref="D126:L126">D23/D107</f>
        <v>#DIV/0!</v>
      </c>
      <c r="E126" s="50" t="e">
        <f t="shared" si="84"/>
        <v>#DIV/0!</v>
      </c>
      <c r="F126" s="50" t="e">
        <f t="shared" si="84"/>
        <v>#DIV/0!</v>
      </c>
      <c r="G126" s="50" t="e">
        <f t="shared" si="84"/>
        <v>#DIV/0!</v>
      </c>
      <c r="H126" s="50" t="e">
        <f t="shared" si="84"/>
        <v>#DIV/0!</v>
      </c>
      <c r="I126" s="50" t="e">
        <f t="shared" si="84"/>
        <v>#DIV/0!</v>
      </c>
      <c r="J126" s="50" t="e">
        <f t="shared" si="84"/>
        <v>#DIV/0!</v>
      </c>
      <c r="K126" s="50" t="e">
        <f t="shared" si="84"/>
        <v>#DIV/0!</v>
      </c>
      <c r="L126" s="51" t="e">
        <f t="shared" si="84"/>
        <v>#DIV/0!</v>
      </c>
      <c r="M126" s="13"/>
    </row>
    <row r="127" spans="2:13" ht="12.75" hidden="1">
      <c r="B127" s="13" t="str">
        <f t="shared" si="72"/>
        <v>C8</v>
      </c>
      <c r="C127" s="14"/>
      <c r="D127" s="50" t="e">
        <f aca="true" t="shared" si="85" ref="D127:L127">D24/D108</f>
        <v>#DIV/0!</v>
      </c>
      <c r="E127" s="50" t="e">
        <f t="shared" si="85"/>
        <v>#DIV/0!</v>
      </c>
      <c r="F127" s="50" t="e">
        <f t="shared" si="85"/>
        <v>#DIV/0!</v>
      </c>
      <c r="G127" s="50" t="e">
        <f t="shared" si="85"/>
        <v>#DIV/0!</v>
      </c>
      <c r="H127" s="50" t="e">
        <f t="shared" si="85"/>
        <v>#DIV/0!</v>
      </c>
      <c r="I127" s="50" t="e">
        <f t="shared" si="85"/>
        <v>#DIV/0!</v>
      </c>
      <c r="J127" s="50" t="e">
        <f t="shared" si="85"/>
        <v>#DIV/0!</v>
      </c>
      <c r="K127" s="50" t="e">
        <f t="shared" si="85"/>
        <v>#DIV/0!</v>
      </c>
      <c r="L127" s="51" t="e">
        <f t="shared" si="85"/>
        <v>#DIV/0!</v>
      </c>
      <c r="M127" s="13"/>
    </row>
    <row r="128" spans="2:13" ht="12.75" hidden="1">
      <c r="B128" s="13" t="str">
        <f t="shared" si="72"/>
        <v>C9</v>
      </c>
      <c r="C128" s="14"/>
      <c r="D128" s="50" t="e">
        <f aca="true" t="shared" si="86" ref="D128:L128">D25/D109</f>
        <v>#DIV/0!</v>
      </c>
      <c r="E128" s="50" t="e">
        <f t="shared" si="86"/>
        <v>#DIV/0!</v>
      </c>
      <c r="F128" s="50" t="e">
        <f t="shared" si="86"/>
        <v>#DIV/0!</v>
      </c>
      <c r="G128" s="50" t="e">
        <f t="shared" si="86"/>
        <v>#DIV/0!</v>
      </c>
      <c r="H128" s="50" t="e">
        <f t="shared" si="86"/>
        <v>#DIV/0!</v>
      </c>
      <c r="I128" s="50" t="e">
        <f t="shared" si="86"/>
        <v>#DIV/0!</v>
      </c>
      <c r="J128" s="50" t="e">
        <f t="shared" si="86"/>
        <v>#DIV/0!</v>
      </c>
      <c r="K128" s="50" t="e">
        <f t="shared" si="86"/>
        <v>#DIV/0!</v>
      </c>
      <c r="L128" s="51" t="e">
        <f t="shared" si="86"/>
        <v>#DIV/0!</v>
      </c>
      <c r="M128" s="13"/>
    </row>
    <row r="129" spans="2:13" ht="12.75" hidden="1">
      <c r="B129" s="13" t="str">
        <f t="shared" si="72"/>
        <v>C10</v>
      </c>
      <c r="C129" s="14"/>
      <c r="D129" s="50" t="e">
        <f aca="true" t="shared" si="87" ref="D129:L129">D26/D110</f>
        <v>#DIV/0!</v>
      </c>
      <c r="E129" s="50" t="e">
        <f t="shared" si="87"/>
        <v>#DIV/0!</v>
      </c>
      <c r="F129" s="50" t="e">
        <f t="shared" si="87"/>
        <v>#DIV/0!</v>
      </c>
      <c r="G129" s="50" t="e">
        <f t="shared" si="87"/>
        <v>#DIV/0!</v>
      </c>
      <c r="H129" s="50" t="e">
        <f t="shared" si="87"/>
        <v>#DIV/0!</v>
      </c>
      <c r="I129" s="50" t="e">
        <f t="shared" si="87"/>
        <v>#DIV/0!</v>
      </c>
      <c r="J129" s="50" t="e">
        <f t="shared" si="87"/>
        <v>#DIV/0!</v>
      </c>
      <c r="K129" s="50" t="e">
        <f t="shared" si="87"/>
        <v>#DIV/0!</v>
      </c>
      <c r="L129" s="51" t="e">
        <f t="shared" si="87"/>
        <v>#DIV/0!</v>
      </c>
      <c r="M129" s="13"/>
    </row>
    <row r="130" spans="2:13" ht="12.75" hidden="1">
      <c r="B130" s="13" t="str">
        <f t="shared" si="72"/>
        <v>C11</v>
      </c>
      <c r="C130" s="14"/>
      <c r="D130" s="50" t="e">
        <f aca="true" t="shared" si="88" ref="D130:L130">D27/D111</f>
        <v>#DIV/0!</v>
      </c>
      <c r="E130" s="50" t="e">
        <f t="shared" si="88"/>
        <v>#DIV/0!</v>
      </c>
      <c r="F130" s="50" t="e">
        <f t="shared" si="88"/>
        <v>#DIV/0!</v>
      </c>
      <c r="G130" s="50" t="e">
        <f t="shared" si="88"/>
        <v>#DIV/0!</v>
      </c>
      <c r="H130" s="50" t="e">
        <f t="shared" si="88"/>
        <v>#DIV/0!</v>
      </c>
      <c r="I130" s="50" t="e">
        <f t="shared" si="88"/>
        <v>#DIV/0!</v>
      </c>
      <c r="J130" s="50" t="e">
        <f t="shared" si="88"/>
        <v>#DIV/0!</v>
      </c>
      <c r="K130" s="50" t="e">
        <f t="shared" si="88"/>
        <v>#DIV/0!</v>
      </c>
      <c r="L130" s="51" t="e">
        <f t="shared" si="88"/>
        <v>#DIV/0!</v>
      </c>
      <c r="M130" s="13"/>
    </row>
    <row r="131" spans="2:13" ht="13.5" thickBot="1">
      <c r="B131" s="16" t="str">
        <f t="shared" si="72"/>
        <v>C7+</v>
      </c>
      <c r="C131" s="48"/>
      <c r="D131" s="52">
        <f aca="true" t="shared" si="89" ref="D131:L131">D28/D112</f>
        <v>0.19018793846936954</v>
      </c>
      <c r="E131" s="52">
        <f t="shared" si="89"/>
        <v>0.10229944189617521</v>
      </c>
      <c r="F131" s="52">
        <f t="shared" si="89"/>
        <v>0.05837909298697276</v>
      </c>
      <c r="G131" s="52">
        <f t="shared" si="89"/>
        <v>0.03786745000233075</v>
      </c>
      <c r="H131" s="52">
        <f t="shared" si="89"/>
        <v>0.028852401264576506</v>
      </c>
      <c r="I131" s="52">
        <f t="shared" si="89"/>
        <v>0.17804542418640704</v>
      </c>
      <c r="J131" s="52" t="e">
        <f t="shared" si="89"/>
        <v>#DIV/0!</v>
      </c>
      <c r="K131" s="52" t="e">
        <f t="shared" si="89"/>
        <v>#DIV/0!</v>
      </c>
      <c r="L131" s="53" t="e">
        <f t="shared" si="89"/>
        <v>#DIV/0!</v>
      </c>
      <c r="M131" s="13"/>
    </row>
    <row r="133" ht="13.5" thickBot="1"/>
    <row r="134" spans="1:20" ht="12.75">
      <c r="A134" s="47" t="s">
        <v>154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2"/>
    </row>
    <row r="135" spans="1:20" ht="12.75">
      <c r="A135" s="134" t="s">
        <v>157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5"/>
    </row>
    <row r="136" spans="1:20" ht="12.75">
      <c r="A136" s="77"/>
      <c r="B136" s="14"/>
      <c r="C136" s="14"/>
      <c r="D136" s="14">
        <f>D5</f>
        <v>4514.7</v>
      </c>
      <c r="E136" s="14">
        <f aca="true" t="shared" si="90" ref="E136:L136">E5</f>
        <v>3514.7</v>
      </c>
      <c r="F136" s="14">
        <f t="shared" si="90"/>
        <v>2514.7</v>
      </c>
      <c r="G136" s="14">
        <f t="shared" si="90"/>
        <v>1714.7</v>
      </c>
      <c r="H136" s="14">
        <f t="shared" si="90"/>
        <v>914.7</v>
      </c>
      <c r="I136" s="14">
        <f t="shared" si="90"/>
        <v>16.7</v>
      </c>
      <c r="J136" s="14">
        <f t="shared" si="90"/>
        <v>14.7</v>
      </c>
      <c r="K136" s="14">
        <f t="shared" si="90"/>
        <v>14.7</v>
      </c>
      <c r="L136" s="14">
        <f t="shared" si="90"/>
        <v>14.7</v>
      </c>
      <c r="M136" s="14"/>
      <c r="N136" s="130" t="s">
        <v>156</v>
      </c>
      <c r="O136" s="131" t="s">
        <v>155</v>
      </c>
      <c r="P136" s="131"/>
      <c r="Q136" t="s">
        <v>166</v>
      </c>
      <c r="T136" s="15"/>
    </row>
    <row r="137" spans="1:20" ht="12.75">
      <c r="A137" s="7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30"/>
      <c r="O137" s="131"/>
      <c r="P137" s="131"/>
      <c r="T137" s="15"/>
    </row>
    <row r="138" spans="1:20" ht="12.75">
      <c r="A138" s="13"/>
      <c r="B138" s="14" t="str">
        <f aca="true" t="shared" si="91" ref="B138:B148">B96</f>
        <v>N2</v>
      </c>
      <c r="C138" s="81">
        <f aca="true" t="shared" si="92" ref="C138:C154">SUM(D138:O138)</f>
        <v>0.38686510356814124</v>
      </c>
      <c r="D138" s="50">
        <f aca="true" t="shared" si="93" ref="D138:L138">Ngas_p*D12</f>
        <v>0.0323028</v>
      </c>
      <c r="E138" s="50">
        <f t="shared" si="93"/>
        <v>0.06063732</v>
      </c>
      <c r="F138" s="50">
        <f t="shared" si="93"/>
        <v>0.07949370000000003</v>
      </c>
      <c r="G138" s="50">
        <f t="shared" si="93"/>
        <v>0.07120478</v>
      </c>
      <c r="H138" s="50">
        <f t="shared" si="93"/>
        <v>0.07572175999999993</v>
      </c>
      <c r="I138" s="50">
        <f t="shared" si="93"/>
        <v>0.06664490000000005</v>
      </c>
      <c r="J138" s="50">
        <f t="shared" si="93"/>
        <v>0</v>
      </c>
      <c r="K138" s="50">
        <f t="shared" si="93"/>
        <v>0</v>
      </c>
      <c r="L138" s="50">
        <f t="shared" si="93"/>
        <v>0</v>
      </c>
      <c r="M138" s="50"/>
      <c r="N138" s="132">
        <f aca="true" t="shared" si="94" ref="N138:N154">INDEX(C12:L12,N_pres)*Moles_resid_gas</f>
        <v>0.0008598435681412459</v>
      </c>
      <c r="O138" s="133">
        <f>'CVD Data'!N17*Moles_resid_liq</f>
        <v>0</v>
      </c>
      <c r="P138" s="133"/>
      <c r="Q138" s="138" t="s">
        <v>167</v>
      </c>
      <c r="R138" s="3">
        <f>INDEX(Z,N_pres)*UGC*Tres/INDEX(P,N_pres)</f>
        <v>464.4128407185629</v>
      </c>
      <c r="T138" s="15"/>
    </row>
    <row r="139" spans="1:20" ht="12.75">
      <c r="A139" s="13"/>
      <c r="B139" s="14" t="str">
        <f t="shared" si="91"/>
        <v>CO2</v>
      </c>
      <c r="C139" s="81">
        <f t="shared" si="92"/>
        <v>1.7327007459159514</v>
      </c>
      <c r="D139" s="50">
        <f aca="true" t="shared" si="95" ref="D139:L139">Ngas_p*D13</f>
        <v>0.14588104</v>
      </c>
      <c r="E139" s="50">
        <f t="shared" si="95"/>
        <v>0.26089452</v>
      </c>
      <c r="F139" s="50">
        <f t="shared" si="95"/>
        <v>0.3415351500000001</v>
      </c>
      <c r="G139" s="50">
        <f t="shared" si="95"/>
        <v>0.31545183999999993</v>
      </c>
      <c r="H139" s="50">
        <f t="shared" si="95"/>
        <v>0.34410939999999973</v>
      </c>
      <c r="I139" s="50">
        <f t="shared" si="95"/>
        <v>0.3206912800000002</v>
      </c>
      <c r="J139" s="50">
        <f t="shared" si="95"/>
        <v>0</v>
      </c>
      <c r="K139" s="50">
        <f t="shared" si="95"/>
        <v>0</v>
      </c>
      <c r="L139" s="50">
        <f t="shared" si="95"/>
        <v>0</v>
      </c>
      <c r="M139" s="50"/>
      <c r="N139" s="132">
        <f t="shared" si="94"/>
        <v>0.004137515915951308</v>
      </c>
      <c r="O139" s="133">
        <f>'CVD Data'!N18*Moles_resid_liq</f>
        <v>0</v>
      </c>
      <c r="P139" s="133"/>
      <c r="Q139" s="138" t="s">
        <v>168</v>
      </c>
      <c r="R139" s="3">
        <f>Residual_liq_MW/Residual_liquid_density</f>
        <v>3.5571078175854987</v>
      </c>
      <c r="T139" s="15"/>
    </row>
    <row r="140" spans="1:20" ht="12.75">
      <c r="A140" s="13"/>
      <c r="B140" s="14" t="str">
        <f t="shared" si="91"/>
        <v>H2S</v>
      </c>
      <c r="C140" s="81">
        <f t="shared" si="92"/>
        <v>0</v>
      </c>
      <c r="D140" s="50">
        <f aca="true" t="shared" si="96" ref="D140:L140">Ngas_p*D14</f>
        <v>0</v>
      </c>
      <c r="E140" s="50">
        <f t="shared" si="96"/>
        <v>0</v>
      </c>
      <c r="F140" s="50">
        <f t="shared" si="96"/>
        <v>0</v>
      </c>
      <c r="G140" s="50">
        <f t="shared" si="96"/>
        <v>0</v>
      </c>
      <c r="H140" s="50">
        <f t="shared" si="96"/>
        <v>0</v>
      </c>
      <c r="I140" s="50">
        <f t="shared" si="96"/>
        <v>0</v>
      </c>
      <c r="J140" s="50">
        <f t="shared" si="96"/>
        <v>0</v>
      </c>
      <c r="K140" s="50">
        <f t="shared" si="96"/>
        <v>0</v>
      </c>
      <c r="L140" s="50">
        <f t="shared" si="96"/>
        <v>0</v>
      </c>
      <c r="M140" s="50"/>
      <c r="N140" s="132">
        <f t="shared" si="94"/>
        <v>0</v>
      </c>
      <c r="O140" s="133">
        <f>'CVD Data'!N19*Moles_resid_liq</f>
        <v>0</v>
      </c>
      <c r="P140" s="133"/>
      <c r="Q140" s="138" t="s">
        <v>170</v>
      </c>
      <c r="R140" s="3">
        <f>1-INDEX(Np,N_pres)</f>
        <v>0.061549999999999994</v>
      </c>
      <c r="T140" s="15"/>
    </row>
    <row r="141" spans="1:20" ht="12.75">
      <c r="A141" s="13"/>
      <c r="B141" s="14" t="str">
        <f t="shared" si="91"/>
        <v>C1</v>
      </c>
      <c r="C141" s="81">
        <f t="shared" si="92"/>
        <v>67.45743854997724</v>
      </c>
      <c r="D141" s="50">
        <f aca="true" t="shared" si="97" ref="D141:L141">Ngas_p*D15</f>
        <v>5.735780879999999</v>
      </c>
      <c r="E141" s="50">
        <f t="shared" si="97"/>
        <v>10.41043356</v>
      </c>
      <c r="F141" s="50">
        <f t="shared" si="97"/>
        <v>13.585509300000004</v>
      </c>
      <c r="G141" s="50">
        <f t="shared" si="97"/>
        <v>12.391424059999999</v>
      </c>
      <c r="H141" s="50">
        <f t="shared" si="97"/>
        <v>13.219993159999989</v>
      </c>
      <c r="I141" s="50">
        <f t="shared" si="97"/>
        <v>11.959874920000008</v>
      </c>
      <c r="J141" s="50">
        <f t="shared" si="97"/>
        <v>0</v>
      </c>
      <c r="K141" s="50">
        <f t="shared" si="97"/>
        <v>0</v>
      </c>
      <c r="L141" s="50">
        <f t="shared" si="97"/>
        <v>0</v>
      </c>
      <c r="M141" s="50"/>
      <c r="N141" s="132">
        <f t="shared" si="94"/>
        <v>0.1543047033716878</v>
      </c>
      <c r="O141" s="133">
        <f>'CVD Data'!N20*Moles_resid_liq</f>
        <v>0.00011796660556333585</v>
      </c>
      <c r="P141" s="133"/>
      <c r="Q141" s="139" t="s">
        <v>171</v>
      </c>
      <c r="R141" s="133">
        <f>INDEX(SL,N_pres)</f>
        <v>0.14967</v>
      </c>
      <c r="S141" s="133"/>
      <c r="T141" s="15"/>
    </row>
    <row r="142" spans="1:20" ht="12.75">
      <c r="A142" s="13"/>
      <c r="B142" s="14" t="str">
        <f t="shared" si="91"/>
        <v>C2</v>
      </c>
      <c r="C142" s="81">
        <f t="shared" si="92"/>
        <v>6.97871183905544</v>
      </c>
      <c r="D142" s="50">
        <f aca="true" t="shared" si="98" ref="D142:L142">Ngas_p*D16</f>
        <v>0.57251728</v>
      </c>
      <c r="E142" s="50">
        <f t="shared" si="98"/>
        <v>1.01444976</v>
      </c>
      <c r="F142" s="50">
        <f t="shared" si="98"/>
        <v>1.3424004000000005</v>
      </c>
      <c r="G142" s="50">
        <f t="shared" si="98"/>
        <v>1.24176574</v>
      </c>
      <c r="H142" s="50">
        <f t="shared" si="98"/>
        <v>1.3606917199999988</v>
      </c>
      <c r="I142" s="50">
        <f t="shared" si="98"/>
        <v>1.4279913200000007</v>
      </c>
      <c r="J142" s="50">
        <f t="shared" si="98"/>
        <v>0</v>
      </c>
      <c r="K142" s="50">
        <f t="shared" si="98"/>
        <v>0</v>
      </c>
      <c r="L142" s="50">
        <f t="shared" si="98"/>
        <v>0</v>
      </c>
      <c r="M142" s="50"/>
      <c r="N142" s="132">
        <f t="shared" si="94"/>
        <v>0.01842375263318765</v>
      </c>
      <c r="O142" s="133">
        <f>'CVD Data'!N21*Moles_resid_liq</f>
        <v>0.0004718664222533434</v>
      </c>
      <c r="P142" s="133"/>
      <c r="Q142" s="139" t="s">
        <v>172</v>
      </c>
      <c r="R142" s="133">
        <f>1/(1+Liq_molar_vol/Gas_molar_vol*(1/Liq_sat-1))</f>
        <v>0.9582989891416397</v>
      </c>
      <c r="S142" s="133"/>
      <c r="T142" s="15"/>
    </row>
    <row r="143" spans="1:20" ht="12.75">
      <c r="A143" s="13"/>
      <c r="B143" s="14" t="str">
        <f t="shared" si="91"/>
        <v>C3</v>
      </c>
      <c r="C143" s="81">
        <f t="shared" si="92"/>
        <v>6.555126745821902</v>
      </c>
      <c r="D143" s="50">
        <f aca="true" t="shared" si="99" ref="D143:L143">Ngas_p*D17</f>
        <v>0.51851976</v>
      </c>
      <c r="E143" s="50">
        <f t="shared" si="99"/>
        <v>0.9104000400000001</v>
      </c>
      <c r="F143" s="50">
        <f t="shared" si="99"/>
        <v>1.1692048500000005</v>
      </c>
      <c r="G143" s="50">
        <f t="shared" si="99"/>
        <v>1.0592729399999998</v>
      </c>
      <c r="H143" s="50">
        <f t="shared" si="99"/>
        <v>1.258255039999999</v>
      </c>
      <c r="I143" s="50">
        <f t="shared" si="99"/>
        <v>1.6096235400000007</v>
      </c>
      <c r="J143" s="50">
        <f t="shared" si="99"/>
        <v>0</v>
      </c>
      <c r="K143" s="50">
        <f t="shared" si="99"/>
        <v>0</v>
      </c>
      <c r="L143" s="50">
        <f t="shared" si="99"/>
        <v>0</v>
      </c>
      <c r="M143" s="50"/>
      <c r="N143" s="132">
        <f t="shared" si="94"/>
        <v>0.02076714719352483</v>
      </c>
      <c r="O143" s="133">
        <f>'CVD Data'!N22*Moles_resid_liq</f>
        <v>0.00908342862837686</v>
      </c>
      <c r="P143" s="133"/>
      <c r="Q143" s="133"/>
      <c r="R143" s="133"/>
      <c r="S143" s="133"/>
      <c r="T143" s="15"/>
    </row>
    <row r="144" spans="1:20" ht="12.75">
      <c r="A144" s="13"/>
      <c r="B144" s="14" t="str">
        <f t="shared" si="91"/>
        <v>iC4</v>
      </c>
      <c r="C144" s="81">
        <f t="shared" si="92"/>
        <v>1.4120512950846529</v>
      </c>
      <c r="D144" s="50">
        <f aca="true" t="shared" si="100" ref="D144:L144">Ngas_p*D18</f>
        <v>0.10783552</v>
      </c>
      <c r="E144" s="50">
        <f t="shared" si="100"/>
        <v>0.18373248</v>
      </c>
      <c r="F144" s="50">
        <f t="shared" si="100"/>
        <v>0.2338050000000001</v>
      </c>
      <c r="G144" s="50">
        <f t="shared" si="100"/>
        <v>0.21573255999999996</v>
      </c>
      <c r="H144" s="50">
        <f t="shared" si="100"/>
        <v>0.2586570399999998</v>
      </c>
      <c r="I144" s="50">
        <f t="shared" si="100"/>
        <v>0.39608954000000024</v>
      </c>
      <c r="J144" s="50">
        <f t="shared" si="100"/>
        <v>0</v>
      </c>
      <c r="K144" s="50">
        <f t="shared" si="100"/>
        <v>0</v>
      </c>
      <c r="L144" s="50">
        <f t="shared" si="100"/>
        <v>0</v>
      </c>
      <c r="M144" s="50"/>
      <c r="N144" s="132">
        <f t="shared" si="94"/>
        <v>0.005110294161699166</v>
      </c>
      <c r="O144" s="133">
        <f>'CVD Data'!N23*Moles_resid_liq</f>
        <v>0.011088860922953568</v>
      </c>
      <c r="P144" s="133"/>
      <c r="Q144" s="138" t="s">
        <v>173</v>
      </c>
      <c r="R144" s="3">
        <f>(1-INDEX(Np,N_pres))*R142</f>
        <v>0.05898330278166792</v>
      </c>
      <c r="S144" s="133"/>
      <c r="T144" s="15"/>
    </row>
    <row r="145" spans="1:20" ht="12.75">
      <c r="A145" s="13"/>
      <c r="B145" s="14" t="str">
        <f t="shared" si="91"/>
        <v>nC4</v>
      </c>
      <c r="C145" s="81">
        <f t="shared" si="92"/>
        <v>2.3008163371703048</v>
      </c>
      <c r="D145" s="50">
        <f aca="true" t="shared" si="101" ref="D145:L145">Ngas_p*D19</f>
        <v>0.17371728</v>
      </c>
      <c r="E145" s="50">
        <f t="shared" si="101"/>
        <v>0.29590452</v>
      </c>
      <c r="F145" s="50">
        <f t="shared" si="101"/>
        <v>0.38002305000000014</v>
      </c>
      <c r="G145" s="50">
        <f t="shared" si="101"/>
        <v>0.3442922199999999</v>
      </c>
      <c r="H145" s="50">
        <f t="shared" si="101"/>
        <v>0.41753119999999966</v>
      </c>
      <c r="I145" s="50">
        <f t="shared" si="101"/>
        <v>0.6451624200000003</v>
      </c>
      <c r="J145" s="50">
        <f t="shared" si="101"/>
        <v>0</v>
      </c>
      <c r="K145" s="50">
        <f t="shared" si="101"/>
        <v>0</v>
      </c>
      <c r="L145" s="50">
        <f t="shared" si="101"/>
        <v>0</v>
      </c>
      <c r="M145" s="50"/>
      <c r="N145" s="132">
        <f t="shared" si="94"/>
        <v>0.008323799079050925</v>
      </c>
      <c r="O145" s="133">
        <f>'CVD Data'!N24*Moles_resid_liq</f>
        <v>0.035861848091254096</v>
      </c>
      <c r="P145" s="133"/>
      <c r="Q145" s="138" t="s">
        <v>174</v>
      </c>
      <c r="R145" s="3">
        <f>(1-INDEX(Np,N_pres))*(1-R142)</f>
        <v>0.002566697218332077</v>
      </c>
      <c r="S145" s="133"/>
      <c r="T145" s="15"/>
    </row>
    <row r="146" spans="1:20" ht="12.75">
      <c r="A146" s="13"/>
      <c r="B146" s="14" t="str">
        <f t="shared" si="91"/>
        <v>iC5</v>
      </c>
      <c r="C146" s="81">
        <f t="shared" si="92"/>
        <v>0.8518230547596561</v>
      </c>
      <c r="D146" s="50">
        <f aca="true" t="shared" si="102" ref="D146:L146">Ngas_p*D20</f>
        <v>0.063808</v>
      </c>
      <c r="E146" s="50">
        <f t="shared" si="102"/>
        <v>0.10727064</v>
      </c>
      <c r="F146" s="50">
        <f t="shared" si="102"/>
        <v>0.13021140000000003</v>
      </c>
      <c r="G146" s="50">
        <f t="shared" si="102"/>
        <v>0.11242859999999998</v>
      </c>
      <c r="H146" s="50">
        <f t="shared" si="102"/>
        <v>0.14418979999999987</v>
      </c>
      <c r="I146" s="50">
        <f t="shared" si="102"/>
        <v>0.24131422000000016</v>
      </c>
      <c r="J146" s="50">
        <f t="shared" si="102"/>
        <v>0</v>
      </c>
      <c r="K146" s="50">
        <f t="shared" si="102"/>
        <v>0</v>
      </c>
      <c r="L146" s="50">
        <f t="shared" si="102"/>
        <v>0</v>
      </c>
      <c r="M146" s="50"/>
      <c r="N146" s="132">
        <f t="shared" si="94"/>
        <v>0.0031134037258368098</v>
      </c>
      <c r="O146" s="133">
        <f>'CVD Data'!N25*Moles_resid_liq</f>
        <v>0.049486991033819386</v>
      </c>
      <c r="P146" s="133"/>
      <c r="Q146" s="133"/>
      <c r="R146" s="133"/>
      <c r="S146" s="133"/>
      <c r="T146" s="15"/>
    </row>
    <row r="147" spans="1:20" ht="12.75">
      <c r="A147" s="13"/>
      <c r="B147" s="14" t="str">
        <f t="shared" si="91"/>
        <v>nC5</v>
      </c>
      <c r="C147" s="81">
        <f t="shared" si="92"/>
        <v>0.8400860382553534</v>
      </c>
      <c r="D147" s="50">
        <f aca="true" t="shared" si="103" ref="D147:L147">Ngas_p*D21</f>
        <v>0.06277112</v>
      </c>
      <c r="E147" s="50">
        <f t="shared" si="103"/>
        <v>0.10601028</v>
      </c>
      <c r="F147" s="50">
        <f t="shared" si="103"/>
        <v>0.12877260000000004</v>
      </c>
      <c r="G147" s="50">
        <f t="shared" si="103"/>
        <v>0.11096213999999999</v>
      </c>
      <c r="H147" s="50">
        <f t="shared" si="103"/>
        <v>0.13481303999999988</v>
      </c>
      <c r="I147" s="50">
        <f t="shared" si="103"/>
        <v>0.22897994000000013</v>
      </c>
      <c r="J147" s="50">
        <f t="shared" si="103"/>
        <v>0</v>
      </c>
      <c r="K147" s="50">
        <f t="shared" si="103"/>
        <v>0</v>
      </c>
      <c r="L147" s="50">
        <f t="shared" si="103"/>
        <v>0</v>
      </c>
      <c r="M147" s="50"/>
      <c r="N147" s="132">
        <f t="shared" si="94"/>
        <v>0.0029542684983002204</v>
      </c>
      <c r="O147" s="133">
        <f>'CVD Data'!N26*Moles_resid_liq</f>
        <v>0.06482264975705304</v>
      </c>
      <c r="P147" s="133"/>
      <c r="S147" s="133"/>
      <c r="T147" s="15"/>
    </row>
    <row r="148" spans="1:20" ht="12.75">
      <c r="A148" s="13"/>
      <c r="B148" s="14" t="str">
        <f t="shared" si="91"/>
        <v>C6</v>
      </c>
      <c r="C148" s="81">
        <f t="shared" si="92"/>
        <v>0.9781056032687593</v>
      </c>
      <c r="D148" s="50">
        <f aca="true" t="shared" si="104" ref="D148:L148">Ngas_p*D22</f>
        <v>0.06835432</v>
      </c>
      <c r="E148" s="50">
        <f t="shared" si="104"/>
        <v>0.10797084</v>
      </c>
      <c r="F148" s="50">
        <f t="shared" si="104"/>
        <v>0.12607485000000004</v>
      </c>
      <c r="G148" s="50">
        <f t="shared" si="104"/>
        <v>0.10542217999999999</v>
      </c>
      <c r="H148" s="50">
        <f t="shared" si="104"/>
        <v>0.1240209199999999</v>
      </c>
      <c r="I148" s="50">
        <f t="shared" si="104"/>
        <v>0.25225592000000013</v>
      </c>
      <c r="J148" s="50">
        <f t="shared" si="104"/>
        <v>0</v>
      </c>
      <c r="K148" s="50">
        <f t="shared" si="104"/>
        <v>0</v>
      </c>
      <c r="L148" s="50">
        <f t="shared" si="104"/>
        <v>0</v>
      </c>
      <c r="M148" s="50"/>
      <c r="N148" s="132">
        <f t="shared" si="94"/>
        <v>0.0032545720728450736</v>
      </c>
      <c r="O148" s="133">
        <f>'CVD Data'!N27*Moles_resid_liq</f>
        <v>0.19075200119591404</v>
      </c>
      <c r="P148" s="133"/>
      <c r="S148" s="133"/>
      <c r="T148" s="15"/>
    </row>
    <row r="149" spans="1:20" ht="12.75">
      <c r="A149" s="13"/>
      <c r="B149" s="14"/>
      <c r="C149" s="81">
        <f>SUM(D149:O149)</f>
        <v>0</v>
      </c>
      <c r="D149" s="50">
        <f aca="true" t="shared" si="105" ref="D149:L149">Ngas_p*D23</f>
        <v>0</v>
      </c>
      <c r="E149" s="50">
        <f t="shared" si="105"/>
        <v>0</v>
      </c>
      <c r="F149" s="50">
        <f t="shared" si="105"/>
        <v>0</v>
      </c>
      <c r="G149" s="50">
        <f t="shared" si="105"/>
        <v>0</v>
      </c>
      <c r="H149" s="50">
        <f t="shared" si="105"/>
        <v>0</v>
      </c>
      <c r="I149" s="50">
        <f t="shared" si="105"/>
        <v>0</v>
      </c>
      <c r="J149" s="50">
        <f t="shared" si="105"/>
        <v>0</v>
      </c>
      <c r="K149" s="50">
        <f t="shared" si="105"/>
        <v>0</v>
      </c>
      <c r="L149" s="50">
        <f t="shared" si="105"/>
        <v>0</v>
      </c>
      <c r="M149" s="50"/>
      <c r="N149" s="132">
        <f t="shared" si="94"/>
        <v>0</v>
      </c>
      <c r="O149" s="133">
        <f>'CVD Data'!N28*Moles_resid_liq</f>
        <v>0</v>
      </c>
      <c r="P149" s="133"/>
      <c r="S149" s="133"/>
      <c r="T149" s="15"/>
    </row>
    <row r="150" spans="1:20" ht="12.75">
      <c r="A150" s="13"/>
      <c r="B150" s="14"/>
      <c r="C150" s="81">
        <f>SUM(D150:O150)</f>
        <v>0</v>
      </c>
      <c r="D150" s="50">
        <f aca="true" t="shared" si="106" ref="D150:L150">Ngas_p*D24</f>
        <v>0</v>
      </c>
      <c r="E150" s="50">
        <f t="shared" si="106"/>
        <v>0</v>
      </c>
      <c r="F150" s="50">
        <f t="shared" si="106"/>
        <v>0</v>
      </c>
      <c r="G150" s="50">
        <f t="shared" si="106"/>
        <v>0</v>
      </c>
      <c r="H150" s="50">
        <f t="shared" si="106"/>
        <v>0</v>
      </c>
      <c r="I150" s="50">
        <f t="shared" si="106"/>
        <v>0</v>
      </c>
      <c r="J150" s="50">
        <f t="shared" si="106"/>
        <v>0</v>
      </c>
      <c r="K150" s="50">
        <f t="shared" si="106"/>
        <v>0</v>
      </c>
      <c r="L150" s="50">
        <f t="shared" si="106"/>
        <v>0</v>
      </c>
      <c r="M150" s="50"/>
      <c r="N150" s="132">
        <f t="shared" si="94"/>
        <v>0</v>
      </c>
      <c r="O150" s="133">
        <f>'CVD Data'!N29*Moles_resid_liq</f>
        <v>0</v>
      </c>
      <c r="P150" s="133"/>
      <c r="S150" s="133"/>
      <c r="T150" s="15"/>
    </row>
    <row r="151" spans="1:20" ht="12.75">
      <c r="A151" s="13"/>
      <c r="B151" s="14"/>
      <c r="C151" s="81">
        <f>SUM(D151:O151)</f>
        <v>0</v>
      </c>
      <c r="D151" s="50">
        <f aca="true" t="shared" si="107" ref="D151:L151">Ngas_p*D25</f>
        <v>0</v>
      </c>
      <c r="E151" s="50">
        <f t="shared" si="107"/>
        <v>0</v>
      </c>
      <c r="F151" s="50">
        <f t="shared" si="107"/>
        <v>0</v>
      </c>
      <c r="G151" s="50">
        <f t="shared" si="107"/>
        <v>0</v>
      </c>
      <c r="H151" s="50">
        <f t="shared" si="107"/>
        <v>0</v>
      </c>
      <c r="I151" s="50">
        <f t="shared" si="107"/>
        <v>0</v>
      </c>
      <c r="J151" s="50">
        <f t="shared" si="107"/>
        <v>0</v>
      </c>
      <c r="K151" s="50">
        <f t="shared" si="107"/>
        <v>0</v>
      </c>
      <c r="L151" s="50">
        <f t="shared" si="107"/>
        <v>0</v>
      </c>
      <c r="M151" s="50"/>
      <c r="N151" s="132">
        <f t="shared" si="94"/>
        <v>0</v>
      </c>
      <c r="O151" s="133">
        <f>'CVD Data'!N30*Moles_resid_liq</f>
        <v>0</v>
      </c>
      <c r="P151" s="133"/>
      <c r="S151" s="133"/>
      <c r="T151" s="15"/>
    </row>
    <row r="152" spans="1:20" ht="12.75">
      <c r="A152" s="13"/>
      <c r="B152" s="14"/>
      <c r="C152" s="81">
        <f>SUM(D152:O152)</f>
        <v>0</v>
      </c>
      <c r="D152" s="50">
        <f aca="true" t="shared" si="108" ref="D152:L152">Ngas_p*D26</f>
        <v>0</v>
      </c>
      <c r="E152" s="50">
        <f t="shared" si="108"/>
        <v>0</v>
      </c>
      <c r="F152" s="50">
        <f t="shared" si="108"/>
        <v>0</v>
      </c>
      <c r="G152" s="50">
        <f t="shared" si="108"/>
        <v>0</v>
      </c>
      <c r="H152" s="50">
        <f t="shared" si="108"/>
        <v>0</v>
      </c>
      <c r="I152" s="50">
        <f t="shared" si="108"/>
        <v>0</v>
      </c>
      <c r="J152" s="50">
        <f t="shared" si="108"/>
        <v>0</v>
      </c>
      <c r="K152" s="50">
        <f t="shared" si="108"/>
        <v>0</v>
      </c>
      <c r="L152" s="50">
        <f t="shared" si="108"/>
        <v>0</v>
      </c>
      <c r="M152" s="50"/>
      <c r="N152" s="132">
        <f t="shared" si="94"/>
        <v>0</v>
      </c>
      <c r="O152" s="133">
        <f>'CVD Data'!N31*Moles_resid_liq</f>
        <v>0</v>
      </c>
      <c r="P152" s="133"/>
      <c r="S152" s="133"/>
      <c r="T152" s="15"/>
    </row>
    <row r="153" spans="1:20" ht="12.75">
      <c r="A153" s="13"/>
      <c r="B153" s="14"/>
      <c r="C153" s="81">
        <f>SUM(D153:O153)</f>
        <v>0</v>
      </c>
      <c r="D153" s="50">
        <f aca="true" t="shared" si="109" ref="D153:L153">Ngas_p*D27</f>
        <v>0</v>
      </c>
      <c r="E153" s="50">
        <f t="shared" si="109"/>
        <v>0</v>
      </c>
      <c r="F153" s="50">
        <f t="shared" si="109"/>
        <v>0</v>
      </c>
      <c r="G153" s="50">
        <f t="shared" si="109"/>
        <v>0</v>
      </c>
      <c r="H153" s="50">
        <f t="shared" si="109"/>
        <v>0</v>
      </c>
      <c r="I153" s="50">
        <f t="shared" si="109"/>
        <v>0</v>
      </c>
      <c r="J153" s="50">
        <f t="shared" si="109"/>
        <v>0</v>
      </c>
      <c r="K153" s="50">
        <f t="shared" si="109"/>
        <v>0</v>
      </c>
      <c r="L153" s="50">
        <f t="shared" si="109"/>
        <v>0</v>
      </c>
      <c r="M153" s="50"/>
      <c r="N153" s="132">
        <f t="shared" si="94"/>
        <v>0</v>
      </c>
      <c r="O153" s="133">
        <f>'CVD Data'!N32*Moles_resid_liq</f>
        <v>0</v>
      </c>
      <c r="P153" s="133"/>
      <c r="S153" s="133"/>
      <c r="T153" s="15"/>
    </row>
    <row r="154" spans="1:20" ht="12.75">
      <c r="A154" s="13"/>
      <c r="B154" s="14" t="str">
        <f>B112</f>
        <v>C7+</v>
      </c>
      <c r="C154" s="81">
        <f t="shared" si="92"/>
        <v>10.505376103819808</v>
      </c>
      <c r="D154" s="50">
        <f aca="true" t="shared" si="110" ref="D154:L154">Ngas_p*D28</f>
        <v>0.494512</v>
      </c>
      <c r="E154" s="50">
        <f t="shared" si="110"/>
        <v>0.546156</v>
      </c>
      <c r="F154" s="50">
        <f t="shared" si="110"/>
        <v>0.4676100000000002</v>
      </c>
      <c r="G154" s="50">
        <f t="shared" si="110"/>
        <v>0.32587999999999995</v>
      </c>
      <c r="H154" s="50">
        <f t="shared" si="110"/>
        <v>0.3538399999999997</v>
      </c>
      <c r="I154" s="50">
        <f t="shared" si="110"/>
        <v>2.745372000000002</v>
      </c>
      <c r="J154" s="50">
        <f t="shared" si="110"/>
        <v>0</v>
      </c>
      <c r="K154" s="50">
        <f t="shared" si="110"/>
        <v>0</v>
      </c>
      <c r="L154" s="50">
        <f t="shared" si="110"/>
        <v>0</v>
      </c>
      <c r="M154" s="50"/>
      <c r="N154" s="132">
        <f t="shared" si="94"/>
        <v>0.035420421612982665</v>
      </c>
      <c r="O154" s="133">
        <f>'CVD Data'!N33*Moles_resid_liq</f>
        <v>5.536585682206823</v>
      </c>
      <c r="P154" s="133"/>
      <c r="S154" s="133"/>
      <c r="T154" s="15"/>
    </row>
    <row r="155" spans="1:20" ht="12.75">
      <c r="A155" s="13"/>
      <c r="B155" s="14"/>
      <c r="C155" s="1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130"/>
      <c r="O155" s="131"/>
      <c r="P155" s="131"/>
      <c r="Q155" s="131"/>
      <c r="R155" s="131"/>
      <c r="S155" s="131"/>
      <c r="T155" s="15"/>
    </row>
    <row r="156" spans="1:20" ht="12.75">
      <c r="A156" s="13"/>
      <c r="B156" s="14"/>
      <c r="C156" s="19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130"/>
      <c r="O156" s="131"/>
      <c r="P156" s="131"/>
      <c r="Q156" s="131"/>
      <c r="R156" s="131"/>
      <c r="S156" s="131"/>
      <c r="T156" s="15"/>
    </row>
    <row r="157" spans="1:20" ht="12.75">
      <c r="A157" s="13"/>
      <c r="B157" s="14"/>
      <c r="C157" s="81">
        <f>SUM(D157:O157)</f>
        <v>99.99910141669721</v>
      </c>
      <c r="D157" s="50">
        <f>SUM(D138:D154)</f>
        <v>7.975999999999999</v>
      </c>
      <c r="E157" s="50">
        <f>SUM(E138:E154)</f>
        <v>14.00385996</v>
      </c>
      <c r="F157" s="50">
        <f aca="true" t="shared" si="111" ref="F157:O157">SUM(F138:F154)</f>
        <v>17.98464030000001</v>
      </c>
      <c r="G157" s="50">
        <f t="shared" si="111"/>
        <v>16.293837059999998</v>
      </c>
      <c r="H157" s="50">
        <f t="shared" si="111"/>
        <v>17.69182307999998</v>
      </c>
      <c r="I157" s="50">
        <f t="shared" si="111"/>
        <v>19.894000000000013</v>
      </c>
      <c r="J157" s="50">
        <f t="shared" si="111"/>
        <v>0</v>
      </c>
      <c r="K157" s="50">
        <f t="shared" si="111"/>
        <v>0</v>
      </c>
      <c r="L157" s="50">
        <f t="shared" si="111"/>
        <v>0</v>
      </c>
      <c r="M157" s="50"/>
      <c r="N157" s="133">
        <f t="shared" si="111"/>
        <v>0.2566697218332077</v>
      </c>
      <c r="O157" s="133">
        <f t="shared" si="111"/>
        <v>5.898271294864011</v>
      </c>
      <c r="P157" s="133"/>
      <c r="Q157" s="133"/>
      <c r="R157" s="133"/>
      <c r="S157" s="133"/>
      <c r="T157" s="15"/>
    </row>
    <row r="158" spans="1:20" ht="13.5" thickBot="1">
      <c r="A158" s="16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28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Mott</dc:creator>
  <cp:keywords/>
  <dc:description/>
  <cp:lastModifiedBy>Curtis Hays Whitson</cp:lastModifiedBy>
  <dcterms:created xsi:type="dcterms:W3CDTF">2002-10-15T08:24:56Z</dcterms:created>
  <dcterms:modified xsi:type="dcterms:W3CDTF">2011-12-15T15:49:30Z</dcterms:modified>
  <cp:category/>
  <cp:version/>
  <cp:contentType/>
  <cp:contentStatus/>
</cp:coreProperties>
</file>